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workbookProtection workbookPassword="C645" lockStructure="1"/>
  <bookViews>
    <workbookView xWindow="-15" yWindow="0" windowWidth="10920" windowHeight="8520" tabRatio="530"/>
  </bookViews>
  <sheets>
    <sheet name="Simulator" sheetId="1" r:id="rId1"/>
    <sheet name="Calculation" sheetId="348" state="hidden" r:id="rId2"/>
  </sheets>
  <definedNames>
    <definedName name="_xlnm.Print_Area" localSheetId="0">Simulator!$A$1:$O$23</definedName>
  </definedNames>
  <calcPr calcId="145621"/>
</workbook>
</file>

<file path=xl/calcChain.xml><?xml version="1.0" encoding="utf-8"?>
<calcChain xmlns="http://schemas.openxmlformats.org/spreadsheetml/2006/main">
  <c r="Q81" i="348" l="1"/>
  <c r="R91" i="348" s="1"/>
  <c r="Q132" i="348"/>
  <c r="M152" i="348"/>
  <c r="N152" i="348" s="1"/>
  <c r="M151" i="348"/>
  <c r="N151" i="348" s="1"/>
  <c r="M146" i="348"/>
  <c r="N146" i="348" s="1"/>
  <c r="M144" i="348"/>
  <c r="N144" i="348" s="1"/>
  <c r="M143" i="348"/>
  <c r="N143" i="348" s="1"/>
  <c r="M142" i="348"/>
  <c r="N142" i="348" s="1"/>
  <c r="M101" i="348" l="1"/>
  <c r="N101" i="348" s="1"/>
  <c r="T101" i="348" s="1"/>
  <c r="M100" i="348"/>
  <c r="N100" i="348" s="1"/>
  <c r="T100" i="348" s="1"/>
  <c r="M95" i="348"/>
  <c r="N95" i="348" s="1"/>
  <c r="T95" i="348" s="1"/>
  <c r="M93" i="348"/>
  <c r="N93" i="348" s="1"/>
  <c r="T93" i="348" s="1"/>
  <c r="M92" i="348"/>
  <c r="N92" i="348" s="1"/>
  <c r="T92" i="348" s="1"/>
  <c r="M91" i="348"/>
  <c r="N91" i="348" s="1"/>
  <c r="T91" i="348" s="1"/>
  <c r="D3" i="348" l="1"/>
  <c r="C3" i="348"/>
  <c r="C4" i="348" s="1"/>
  <c r="C5" i="348" s="1"/>
  <c r="C6" i="348" s="1"/>
  <c r="C7" i="348" s="1"/>
  <c r="C8" i="348" s="1"/>
  <c r="C9" i="348" s="1"/>
  <c r="C10" i="348" s="1"/>
  <c r="C11" i="348" l="1"/>
  <c r="C12" i="348" s="1"/>
  <c r="C13" i="348" s="1"/>
  <c r="R106" i="348"/>
  <c r="S106" i="348"/>
  <c r="R107" i="348"/>
  <c r="S107" i="348"/>
  <c r="R108" i="348"/>
  <c r="S108" i="348"/>
  <c r="R109" i="348"/>
  <c r="S109" i="348"/>
  <c r="R110" i="348"/>
  <c r="S110" i="348"/>
  <c r="R111" i="348"/>
  <c r="S111" i="348"/>
  <c r="R112" i="348"/>
  <c r="S112" i="348"/>
  <c r="R113" i="348"/>
  <c r="S113" i="348"/>
  <c r="R114" i="348"/>
  <c r="S114" i="348"/>
  <c r="R115" i="348"/>
  <c r="S115" i="348"/>
  <c r="R116" i="348"/>
  <c r="S116" i="348"/>
  <c r="H106" i="348"/>
  <c r="H107" i="348"/>
  <c r="H108" i="348"/>
  <c r="H109" i="348"/>
  <c r="H110" i="348"/>
  <c r="H111" i="348"/>
  <c r="H112" i="348"/>
  <c r="H113" i="348"/>
  <c r="H114" i="348"/>
  <c r="H115" i="348"/>
  <c r="H116" i="348"/>
  <c r="I107" i="348"/>
  <c r="T143" i="348" s="1"/>
  <c r="I108" i="348"/>
  <c r="T144" i="348" s="1"/>
  <c r="I109" i="348"/>
  <c r="I110" i="348"/>
  <c r="T146" i="348" s="1"/>
  <c r="I111" i="348"/>
  <c r="I112" i="348"/>
  <c r="I113" i="348"/>
  <c r="I114" i="348"/>
  <c r="I115" i="348"/>
  <c r="T151" i="348" s="1"/>
  <c r="I116" i="348"/>
  <c r="T152" i="348" s="1"/>
  <c r="I106" i="348"/>
  <c r="T142" i="348" s="1"/>
  <c r="S53" i="348"/>
  <c r="R53" i="348"/>
  <c r="Q53" i="348"/>
  <c r="P53" i="348"/>
  <c r="O53" i="348"/>
  <c r="N53" i="348"/>
  <c r="M53" i="348"/>
  <c r="L53" i="348"/>
  <c r="G106" i="348" l="1"/>
  <c r="G114" i="348"/>
  <c r="G115" i="348"/>
  <c r="G113" i="348"/>
  <c r="G111" i="348"/>
  <c r="G109" i="348"/>
  <c r="G107" i="348"/>
  <c r="G116" i="348"/>
  <c r="G112" i="348"/>
  <c r="G110" i="348"/>
  <c r="G108" i="348"/>
  <c r="J55" i="348"/>
  <c r="J68" i="348" s="1"/>
  <c r="P92" i="348" s="1"/>
  <c r="P143" i="348" s="1"/>
  <c r="J56" i="348"/>
  <c r="J69" i="348" s="1"/>
  <c r="P93" i="348" s="1"/>
  <c r="P144" i="348" s="1"/>
  <c r="J57" i="348"/>
  <c r="J70" i="348" s="1"/>
  <c r="P94" i="348" s="1"/>
  <c r="P145" i="348" s="1"/>
  <c r="J58" i="348"/>
  <c r="J71" i="348" s="1"/>
  <c r="P95" i="348" s="1"/>
  <c r="P146" i="348" s="1"/>
  <c r="J59" i="348"/>
  <c r="J72" i="348" s="1"/>
  <c r="P96" i="348" s="1"/>
  <c r="P147" i="348" s="1"/>
  <c r="J60" i="348"/>
  <c r="J73" i="348" s="1"/>
  <c r="P97" i="348" s="1"/>
  <c r="P148" i="348" s="1"/>
  <c r="J61" i="348"/>
  <c r="J74" i="348" s="1"/>
  <c r="P98" i="348" s="1"/>
  <c r="P149" i="348" s="1"/>
  <c r="J62" i="348"/>
  <c r="J75" i="348" s="1"/>
  <c r="P99" i="348" s="1"/>
  <c r="P150" i="348" s="1"/>
  <c r="J63" i="348"/>
  <c r="J76" i="348" s="1"/>
  <c r="P100" i="348" s="1"/>
  <c r="P151" i="348" s="1"/>
  <c r="J64" i="348"/>
  <c r="J77" i="348" s="1"/>
  <c r="P101" i="348" s="1"/>
  <c r="P152" i="348" s="1"/>
  <c r="J54" i="348"/>
  <c r="J67" i="348" s="1"/>
  <c r="P91" i="348" s="1"/>
  <c r="P142" i="348" s="1"/>
  <c r="G64" i="348"/>
  <c r="G63" i="348"/>
  <c r="G62" i="348"/>
  <c r="G61" i="348"/>
  <c r="G60" i="348"/>
  <c r="G59" i="348"/>
  <c r="G58" i="348"/>
  <c r="G57" i="348"/>
  <c r="G56" i="348"/>
  <c r="G55" i="348"/>
  <c r="G54" i="348"/>
  <c r="K77" i="348" l="1"/>
  <c r="B24" i="348"/>
  <c r="B25" i="348"/>
  <c r="B26" i="348"/>
  <c r="B27" i="348"/>
  <c r="B28" i="348"/>
  <c r="B29" i="348"/>
  <c r="B30" i="348"/>
  <c r="B31" i="348"/>
  <c r="B32" i="348"/>
  <c r="B33" i="348"/>
  <c r="B23" i="348"/>
  <c r="F3" i="348" l="1"/>
  <c r="E3" i="348"/>
  <c r="D4" i="348"/>
  <c r="D5" i="348"/>
  <c r="D6" i="348"/>
  <c r="E6" i="348"/>
  <c r="F6" i="348"/>
  <c r="B14" i="1" s="1"/>
  <c r="D7" i="348"/>
  <c r="E7" i="348"/>
  <c r="D8" i="348"/>
  <c r="E8" i="348"/>
  <c r="D9" i="348"/>
  <c r="E9" i="348"/>
  <c r="D10" i="348"/>
  <c r="E10" i="348"/>
  <c r="D11" i="348"/>
  <c r="E11" i="348"/>
  <c r="D12" i="348"/>
  <c r="E12" i="348"/>
  <c r="D13" i="348"/>
  <c r="E13" i="348"/>
  <c r="C21" i="348"/>
  <c r="D21" i="348"/>
  <c r="E21" i="348"/>
  <c r="F21" i="348"/>
  <c r="G21" i="348"/>
  <c r="H21" i="348"/>
  <c r="I21" i="348"/>
  <c r="J21" i="348"/>
  <c r="K21" i="348"/>
  <c r="L21" i="348"/>
  <c r="C22" i="348"/>
  <c r="D22" i="348"/>
  <c r="E22" i="348"/>
  <c r="F22" i="348"/>
  <c r="G22" i="348"/>
  <c r="H22" i="348"/>
  <c r="I22" i="348"/>
  <c r="J22" i="348"/>
  <c r="K22" i="348"/>
  <c r="L22" i="348"/>
  <c r="B53" i="348"/>
  <c r="C53" i="348"/>
  <c r="D53" i="348"/>
  <c r="E53" i="348"/>
  <c r="F53" i="348"/>
  <c r="B54" i="348"/>
  <c r="C54" i="348"/>
  <c r="D54" i="348"/>
  <c r="E54" i="348"/>
  <c r="F54" i="348"/>
  <c r="B55" i="348"/>
  <c r="C55" i="348"/>
  <c r="D55" i="348"/>
  <c r="E55" i="348"/>
  <c r="F55" i="348"/>
  <c r="B56" i="348"/>
  <c r="C56" i="348"/>
  <c r="E60" i="348"/>
  <c r="E62" i="348"/>
  <c r="K66" i="348"/>
  <c r="K67" i="348"/>
  <c r="H67" i="348" s="1"/>
  <c r="B68" i="348"/>
  <c r="C68" i="348"/>
  <c r="D68" i="348"/>
  <c r="E68" i="348"/>
  <c r="F68" i="348"/>
  <c r="K68" i="348"/>
  <c r="H68" i="348" s="1"/>
  <c r="B69" i="348"/>
  <c r="C69" i="348"/>
  <c r="D69" i="348"/>
  <c r="E69" i="348"/>
  <c r="F69" i="348"/>
  <c r="K69" i="348"/>
  <c r="H69" i="348" s="1"/>
  <c r="B70" i="348"/>
  <c r="C70" i="348"/>
  <c r="D70" i="348"/>
  <c r="E70" i="348"/>
  <c r="F70" i="348"/>
  <c r="K70" i="348"/>
  <c r="H70" i="348" s="1"/>
  <c r="B71" i="348"/>
  <c r="C71" i="348"/>
  <c r="K71" i="348"/>
  <c r="H71" i="348" s="1"/>
  <c r="K72" i="348"/>
  <c r="H72" i="348" s="1"/>
  <c r="K73" i="348"/>
  <c r="H73" i="348" s="1"/>
  <c r="K74" i="348"/>
  <c r="H74" i="348" s="1"/>
  <c r="E75" i="348"/>
  <c r="K75" i="348"/>
  <c r="H75" i="348" s="1"/>
  <c r="K76" i="348"/>
  <c r="H76" i="348" s="1"/>
  <c r="E77" i="348"/>
  <c r="H77" i="348"/>
  <c r="Q84" i="348"/>
  <c r="S84" i="348"/>
  <c r="Q87" i="348"/>
  <c r="S87" i="348"/>
  <c r="R93" i="348"/>
  <c r="R95" i="348"/>
  <c r="R97" i="348"/>
  <c r="R99" i="348"/>
  <c r="R101" i="348"/>
  <c r="B105" i="348"/>
  <c r="C105" i="348"/>
  <c r="D105" i="348"/>
  <c r="E105" i="348"/>
  <c r="F105" i="348"/>
  <c r="B106" i="348"/>
  <c r="C106" i="348"/>
  <c r="D106" i="348"/>
  <c r="E106" i="348"/>
  <c r="F106" i="348"/>
  <c r="K106" i="348"/>
  <c r="L106" i="348"/>
  <c r="M106" i="348"/>
  <c r="N106" i="348"/>
  <c r="O106" i="348"/>
  <c r="P106" i="348"/>
  <c r="Q106" i="348"/>
  <c r="B107" i="348"/>
  <c r="C107" i="348"/>
  <c r="D107" i="348"/>
  <c r="E107" i="348"/>
  <c r="F107" i="348"/>
  <c r="K107" i="348"/>
  <c r="L107" i="348"/>
  <c r="M107" i="348"/>
  <c r="N107" i="348"/>
  <c r="O107" i="348"/>
  <c r="P107" i="348"/>
  <c r="Q107" i="348"/>
  <c r="B108" i="348"/>
  <c r="C108" i="348"/>
  <c r="K108" i="348"/>
  <c r="L108" i="348"/>
  <c r="M108" i="348"/>
  <c r="N108" i="348"/>
  <c r="O108" i="348"/>
  <c r="P108" i="348"/>
  <c r="Q108" i="348"/>
  <c r="E109" i="348"/>
  <c r="L129" i="348" s="1"/>
  <c r="K109" i="348"/>
  <c r="L109" i="348"/>
  <c r="M109" i="348"/>
  <c r="N109" i="348"/>
  <c r="O109" i="348"/>
  <c r="P109" i="348"/>
  <c r="Q109" i="348"/>
  <c r="K110" i="348"/>
  <c r="L110" i="348"/>
  <c r="M110" i="348"/>
  <c r="N110" i="348"/>
  <c r="O110" i="348"/>
  <c r="P110" i="348"/>
  <c r="Q110" i="348"/>
  <c r="E111" i="348"/>
  <c r="K111" i="348"/>
  <c r="L111" i="348"/>
  <c r="K124" i="348" s="1"/>
  <c r="H124" i="348" s="1"/>
  <c r="M111" i="348"/>
  <c r="N111" i="348"/>
  <c r="O111" i="348"/>
  <c r="P111" i="348"/>
  <c r="Q111" i="348"/>
  <c r="K112" i="348"/>
  <c r="L112" i="348"/>
  <c r="K125" i="348" s="1"/>
  <c r="H125" i="348" s="1"/>
  <c r="M112" i="348"/>
  <c r="N112" i="348"/>
  <c r="O112" i="348"/>
  <c r="P112" i="348"/>
  <c r="Q112" i="348"/>
  <c r="K113" i="348"/>
  <c r="L113" i="348"/>
  <c r="K126" i="348" s="1"/>
  <c r="H126" i="348" s="1"/>
  <c r="M113" i="348"/>
  <c r="N113" i="348"/>
  <c r="O113" i="348"/>
  <c r="P113" i="348"/>
  <c r="Q113" i="348"/>
  <c r="K114" i="348"/>
  <c r="L114" i="348"/>
  <c r="K127" i="348" s="1"/>
  <c r="H127" i="348" s="1"/>
  <c r="M114" i="348"/>
  <c r="N114" i="348"/>
  <c r="O114" i="348"/>
  <c r="P114" i="348"/>
  <c r="Q114" i="348"/>
  <c r="B115" i="348"/>
  <c r="C115" i="348"/>
  <c r="D115" i="348"/>
  <c r="E115" i="348"/>
  <c r="F115" i="348"/>
  <c r="K115" i="348"/>
  <c r="L115" i="348"/>
  <c r="K128" i="348" s="1"/>
  <c r="H128" i="348" s="1"/>
  <c r="M115" i="348"/>
  <c r="N115" i="348"/>
  <c r="O115" i="348"/>
  <c r="P115" i="348"/>
  <c r="Q115" i="348"/>
  <c r="B116" i="348"/>
  <c r="C116" i="348"/>
  <c r="D116" i="348"/>
  <c r="E116" i="348"/>
  <c r="F116" i="348"/>
  <c r="K116" i="348"/>
  <c r="L116" i="348"/>
  <c r="M116" i="348"/>
  <c r="N116" i="348"/>
  <c r="O116" i="348"/>
  <c r="P116" i="348"/>
  <c r="Q116" i="348"/>
  <c r="B117" i="348"/>
  <c r="C117" i="348"/>
  <c r="D117" i="348"/>
  <c r="E117" i="348"/>
  <c r="F117" i="348"/>
  <c r="B118" i="348"/>
  <c r="C118" i="348"/>
  <c r="K118" i="348"/>
  <c r="E119" i="348"/>
  <c r="T119" i="348"/>
  <c r="T120" i="348"/>
  <c r="E121" i="348"/>
  <c r="K121" i="348"/>
  <c r="H121" i="348" s="1"/>
  <c r="T121" i="348"/>
  <c r="K122" i="348"/>
  <c r="H122" i="348" s="1"/>
  <c r="T122" i="348"/>
  <c r="K123" i="348"/>
  <c r="H123" i="348" s="1"/>
  <c r="T123" i="348"/>
  <c r="T124" i="348"/>
  <c r="T125" i="348"/>
  <c r="T126" i="348"/>
  <c r="T127" i="348"/>
  <c r="T128" i="348"/>
  <c r="T129" i="348"/>
  <c r="R143" i="348"/>
  <c r="Q135" i="348"/>
  <c r="S135" i="348"/>
  <c r="Q138" i="348"/>
  <c r="S138" i="348"/>
  <c r="R142" i="348"/>
  <c r="R146" i="348"/>
  <c r="R150" i="348"/>
  <c r="H6" i="1"/>
  <c r="E9" i="1"/>
  <c r="E10" i="1" s="1"/>
  <c r="G9" i="1"/>
  <c r="G10" i="1" s="1"/>
  <c r="I9" i="1"/>
  <c r="I10" i="1" s="1"/>
  <c r="K9" i="1"/>
  <c r="K10" i="1" s="1"/>
  <c r="M10" i="1"/>
  <c r="F4" i="348" l="1"/>
  <c r="B12" i="1" s="1"/>
  <c r="B11" i="1"/>
  <c r="K129" i="348"/>
  <c r="H129" i="348" s="1"/>
  <c r="Q143" i="348"/>
  <c r="Q145" i="348"/>
  <c r="Q147" i="348"/>
  <c r="Q149" i="348"/>
  <c r="Q151" i="348"/>
  <c r="Q142" i="348"/>
  <c r="Q144" i="348"/>
  <c r="Q146" i="348"/>
  <c r="Q148" i="348"/>
  <c r="Q150" i="348"/>
  <c r="Q152" i="348"/>
  <c r="Q92" i="348"/>
  <c r="Q93" i="348"/>
  <c r="Q91" i="348"/>
  <c r="Q95" i="348"/>
  <c r="Q97" i="348"/>
  <c r="Q99" i="348"/>
  <c r="Q101" i="348"/>
  <c r="Q94" i="348"/>
  <c r="Q96" i="348"/>
  <c r="Q98" i="348"/>
  <c r="Q100" i="348"/>
  <c r="M150" i="348"/>
  <c r="N150" i="348" s="1"/>
  <c r="T150" i="348" s="1"/>
  <c r="M148" i="348"/>
  <c r="N148" i="348" s="1"/>
  <c r="T148" i="348" s="1"/>
  <c r="M145" i="348"/>
  <c r="N145" i="348" s="1"/>
  <c r="T145" i="348" s="1"/>
  <c r="M149" i="348"/>
  <c r="N149" i="348" s="1"/>
  <c r="T149" i="348" s="1"/>
  <c r="M147" i="348"/>
  <c r="N147" i="348" s="1"/>
  <c r="T147" i="348" s="1"/>
  <c r="M94" i="348"/>
  <c r="M98" i="348"/>
  <c r="M96" i="348"/>
  <c r="M99" i="348"/>
  <c r="M97" i="348"/>
  <c r="L121" i="348"/>
  <c r="O121" i="348" s="1"/>
  <c r="P121" i="348" s="1"/>
  <c r="Q121" i="348" s="1"/>
  <c r="U121" i="348" s="1"/>
  <c r="V121" i="348" s="1"/>
  <c r="L120" i="348"/>
  <c r="L119" i="348"/>
  <c r="K120" i="348"/>
  <c r="H120" i="348" s="1"/>
  <c r="K119" i="348"/>
  <c r="H119" i="348" s="1"/>
  <c r="D58" i="348"/>
  <c r="F13" i="348"/>
  <c r="F11" i="348"/>
  <c r="B19" i="1" s="1"/>
  <c r="F9" i="348"/>
  <c r="B17" i="1" s="1"/>
  <c r="F12" i="348"/>
  <c r="B20" i="1" s="1"/>
  <c r="F10" i="348"/>
  <c r="B18" i="1" s="1"/>
  <c r="F8" i="348"/>
  <c r="B16" i="1" s="1"/>
  <c r="L127" i="348"/>
  <c r="O127" i="348" s="1"/>
  <c r="P127" i="348" s="1"/>
  <c r="Q127" i="348" s="1"/>
  <c r="U127" i="348" s="1"/>
  <c r="V127" i="348" s="1"/>
  <c r="L124" i="348"/>
  <c r="O124" i="348" s="1"/>
  <c r="P124" i="348" s="1"/>
  <c r="Q124" i="348" s="1"/>
  <c r="U124" i="348" s="1"/>
  <c r="V124" i="348" s="1"/>
  <c r="L123" i="348"/>
  <c r="M123" i="348" s="1"/>
  <c r="N123" i="348" s="1"/>
  <c r="L128" i="348"/>
  <c r="M128" i="348" s="1"/>
  <c r="N128" i="348" s="1"/>
  <c r="L126" i="348"/>
  <c r="O126" i="348" s="1"/>
  <c r="P126" i="348" s="1"/>
  <c r="Q126" i="348" s="1"/>
  <c r="U126" i="348" s="1"/>
  <c r="V126" i="348" s="1"/>
  <c r="L125" i="348"/>
  <c r="O125" i="348" s="1"/>
  <c r="P125" i="348" s="1"/>
  <c r="Q125" i="348" s="1"/>
  <c r="U125" i="348" s="1"/>
  <c r="V125" i="348" s="1"/>
  <c r="L122" i="348"/>
  <c r="O122" i="348" s="1"/>
  <c r="P122" i="348" s="1"/>
  <c r="Q122" i="348" s="1"/>
  <c r="U122" i="348" s="1"/>
  <c r="V122" i="348" s="1"/>
  <c r="O129" i="348"/>
  <c r="P129" i="348" s="1"/>
  <c r="Q129" i="348" s="1"/>
  <c r="U129" i="348" s="1"/>
  <c r="V129" i="348" s="1"/>
  <c r="F7" i="348"/>
  <c r="B15" i="1" s="1"/>
  <c r="R152" i="348"/>
  <c r="R148" i="348"/>
  <c r="R144" i="348"/>
  <c r="R92" i="348"/>
  <c r="F5" i="348"/>
  <c r="B13" i="1" s="1"/>
  <c r="R151" i="348"/>
  <c r="R149" i="348"/>
  <c r="R147" i="348"/>
  <c r="R145" i="348"/>
  <c r="E73" i="348"/>
  <c r="E79" i="348" s="1"/>
  <c r="R100" i="348"/>
  <c r="R98" i="348"/>
  <c r="R96" i="348"/>
  <c r="R94" i="348"/>
  <c r="E4" i="348"/>
  <c r="D73" i="348"/>
  <c r="O120" i="348"/>
  <c r="P120" i="348" s="1"/>
  <c r="Q120" i="348" s="1"/>
  <c r="U120" i="348" s="1"/>
  <c r="V120" i="348" s="1"/>
  <c r="E58" i="348"/>
  <c r="E64" i="348" s="1"/>
  <c r="L77" i="348" s="1"/>
  <c r="M77" i="348" s="1"/>
  <c r="E5" i="348"/>
  <c r="O128" i="348" l="1"/>
  <c r="P128" i="348" s="1"/>
  <c r="Q128" i="348" s="1"/>
  <c r="U128" i="348" s="1"/>
  <c r="V128" i="348" s="1"/>
  <c r="V151" i="348" s="1"/>
  <c r="M129" i="348"/>
  <c r="N129" i="348" s="1"/>
  <c r="V150" i="348"/>
  <c r="O3" i="348"/>
  <c r="B21" i="1"/>
  <c r="M127" i="348"/>
  <c r="N127" i="348" s="1"/>
  <c r="S127" i="348" s="1"/>
  <c r="U152" i="348"/>
  <c r="M120" i="348"/>
  <c r="N120" i="348" s="1"/>
  <c r="S120" i="348" s="1"/>
  <c r="U151" i="348"/>
  <c r="H32" i="348" s="1"/>
  <c r="M124" i="348"/>
  <c r="N124" i="348" s="1"/>
  <c r="S124" i="348" s="1"/>
  <c r="U144" i="348"/>
  <c r="J25" i="348" s="1"/>
  <c r="U146" i="348"/>
  <c r="H27" i="348" s="1"/>
  <c r="O123" i="348"/>
  <c r="P123" i="348" s="1"/>
  <c r="Q123" i="348" s="1"/>
  <c r="U123" i="348" s="1"/>
  <c r="V123" i="348" s="1"/>
  <c r="V146" i="348" s="1"/>
  <c r="U143" i="348"/>
  <c r="H24" i="348" s="1"/>
  <c r="M125" i="348"/>
  <c r="N125" i="348" s="1"/>
  <c r="S125" i="348" s="1"/>
  <c r="M121" i="348"/>
  <c r="N121" i="348" s="1"/>
  <c r="S121" i="348" s="1"/>
  <c r="V148" i="348"/>
  <c r="V144" i="348"/>
  <c r="O119" i="348"/>
  <c r="P119" i="348" s="1"/>
  <c r="Q119" i="348" s="1"/>
  <c r="U119" i="348" s="1"/>
  <c r="V119" i="348" s="1"/>
  <c r="M119" i="348"/>
  <c r="N119" i="348" s="1"/>
  <c r="V142" i="348"/>
  <c r="U142" i="348"/>
  <c r="U149" i="348"/>
  <c r="J30" i="348" s="1"/>
  <c r="U148" i="348"/>
  <c r="U147" i="348"/>
  <c r="J28" i="348" s="1"/>
  <c r="U145" i="348"/>
  <c r="J26" i="348" s="1"/>
  <c r="U150" i="348"/>
  <c r="V149" i="348"/>
  <c r="V147" i="348"/>
  <c r="V145" i="348"/>
  <c r="W145" i="348" s="1"/>
  <c r="L26" i="348" s="1"/>
  <c r="V143" i="348"/>
  <c r="V152" i="348"/>
  <c r="N97" i="348"/>
  <c r="T97" i="348" s="1"/>
  <c r="N96" i="348"/>
  <c r="T96" i="348" s="1"/>
  <c r="N94" i="348"/>
  <c r="T94" i="348" s="1"/>
  <c r="N99" i="348"/>
  <c r="T99" i="348" s="1"/>
  <c r="N98" i="348"/>
  <c r="T98" i="348" s="1"/>
  <c r="M122" i="348"/>
  <c r="N122" i="348" s="1"/>
  <c r="S122" i="348" s="1"/>
  <c r="M126" i="348"/>
  <c r="N126" i="348" s="1"/>
  <c r="S126" i="348" s="1"/>
  <c r="N77" i="348"/>
  <c r="U101" i="348" s="1"/>
  <c r="O77" i="348"/>
  <c r="P77" i="348" s="1"/>
  <c r="J33" i="348"/>
  <c r="L67" i="348"/>
  <c r="M67" i="348" s="1"/>
  <c r="O67" i="348" s="1"/>
  <c r="L68" i="348"/>
  <c r="M68" i="348" s="1"/>
  <c r="L69" i="348"/>
  <c r="M69" i="348" s="1"/>
  <c r="L70" i="348"/>
  <c r="M70" i="348" s="1"/>
  <c r="L73" i="348"/>
  <c r="M73" i="348" s="1"/>
  <c r="L76" i="348"/>
  <c r="M76" i="348" s="1"/>
  <c r="L72" i="348"/>
  <c r="M72" i="348" s="1"/>
  <c r="L71" i="348"/>
  <c r="M71" i="348" s="1"/>
  <c r="L74" i="348"/>
  <c r="M74" i="348" s="1"/>
  <c r="L75" i="348"/>
  <c r="M75" i="348" s="1"/>
  <c r="S129" i="348"/>
  <c r="J32" i="348" l="1"/>
  <c r="I25" i="348"/>
  <c r="S128" i="348"/>
  <c r="W151" i="348"/>
  <c r="L32" i="348" s="1"/>
  <c r="H33" i="348"/>
  <c r="K33" i="348"/>
  <c r="I33" i="348"/>
  <c r="W152" i="348"/>
  <c r="L33" i="348" s="1"/>
  <c r="H23" i="348"/>
  <c r="H25" i="348"/>
  <c r="H31" i="348"/>
  <c r="H29" i="348"/>
  <c r="W144" i="348"/>
  <c r="L25" i="348" s="1"/>
  <c r="J27" i="348"/>
  <c r="I28" i="348"/>
  <c r="K25" i="348"/>
  <c r="I27" i="348"/>
  <c r="K24" i="348"/>
  <c r="J24" i="348"/>
  <c r="W146" i="348"/>
  <c r="L27" i="348" s="1"/>
  <c r="J29" i="348"/>
  <c r="K29" i="348"/>
  <c r="J23" i="348"/>
  <c r="J31" i="348"/>
  <c r="S123" i="348"/>
  <c r="K27" i="348" s="1"/>
  <c r="I24" i="348"/>
  <c r="I26" i="348"/>
  <c r="W148" i="348"/>
  <c r="L29" i="348" s="1"/>
  <c r="W143" i="348"/>
  <c r="L24" i="348" s="1"/>
  <c r="I30" i="348"/>
  <c r="W142" i="348"/>
  <c r="L23" i="348" s="1"/>
  <c r="S119" i="348"/>
  <c r="K23" i="348" s="1"/>
  <c r="H28" i="348"/>
  <c r="I23" i="348"/>
  <c r="K31" i="348"/>
  <c r="K30" i="348"/>
  <c r="H30" i="348"/>
  <c r="K26" i="348"/>
  <c r="I29" i="348"/>
  <c r="W147" i="348"/>
  <c r="L28" i="348" s="1"/>
  <c r="W149" i="348"/>
  <c r="L30" i="348" s="1"/>
  <c r="W150" i="348"/>
  <c r="L31" i="348" s="1"/>
  <c r="I31" i="348"/>
  <c r="K28" i="348"/>
  <c r="I32" i="348"/>
  <c r="K32" i="348"/>
  <c r="H26" i="348"/>
  <c r="Q77" i="348"/>
  <c r="S77" i="348" s="1"/>
  <c r="O75" i="348"/>
  <c r="P75" i="348" s="1"/>
  <c r="N75" i="348"/>
  <c r="U99" i="348" s="1"/>
  <c r="O71" i="348"/>
  <c r="P71" i="348" s="1"/>
  <c r="N71" i="348"/>
  <c r="U95" i="348" s="1"/>
  <c r="N76" i="348"/>
  <c r="U100" i="348" s="1"/>
  <c r="O76" i="348"/>
  <c r="P76" i="348" s="1"/>
  <c r="N70" i="348"/>
  <c r="U94" i="348" s="1"/>
  <c r="O70" i="348"/>
  <c r="P70" i="348" s="1"/>
  <c r="N68" i="348"/>
  <c r="U92" i="348" s="1"/>
  <c r="O68" i="348"/>
  <c r="P68" i="348" s="1"/>
  <c r="O74" i="348"/>
  <c r="P74" i="348" s="1"/>
  <c r="N74" i="348"/>
  <c r="U98" i="348" s="1"/>
  <c r="O72" i="348"/>
  <c r="P72" i="348" s="1"/>
  <c r="N72" i="348"/>
  <c r="U96" i="348" s="1"/>
  <c r="N73" i="348"/>
  <c r="U97" i="348" s="1"/>
  <c r="O73" i="348"/>
  <c r="P73" i="348" s="1"/>
  <c r="N69" i="348"/>
  <c r="U93" i="348" s="1"/>
  <c r="O69" i="348"/>
  <c r="P69" i="348" s="1"/>
  <c r="N67" i="348"/>
  <c r="U91" i="348" s="1"/>
  <c r="P67" i="348"/>
  <c r="Q72" i="348" l="1"/>
  <c r="Q74" i="348"/>
  <c r="D33" i="348"/>
  <c r="G21" i="1" s="1"/>
  <c r="C33" i="348"/>
  <c r="E21" i="1" s="1"/>
  <c r="E33" i="348"/>
  <c r="I21" i="1" s="1"/>
  <c r="Q71" i="348"/>
  <c r="Q75" i="348"/>
  <c r="Q67" i="348"/>
  <c r="Q69" i="348"/>
  <c r="Q73" i="348"/>
  <c r="F33" i="348"/>
  <c r="K21" i="1" s="1"/>
  <c r="U77" i="348"/>
  <c r="V77" i="348" s="1"/>
  <c r="V101" i="348" s="1"/>
  <c r="W101" i="348" s="1"/>
  <c r="G33" i="348" s="1"/>
  <c r="M21" i="1" s="1"/>
  <c r="Q68" i="348"/>
  <c r="Q70" i="348"/>
  <c r="Q76" i="348"/>
  <c r="C23" i="348" l="1"/>
  <c r="E11" i="1" s="1"/>
  <c r="S76" i="348"/>
  <c r="F32" i="348" s="1"/>
  <c r="K20" i="1" s="1"/>
  <c r="U76" i="348"/>
  <c r="V76" i="348" s="1"/>
  <c r="V100" i="348" s="1"/>
  <c r="W100" i="348" s="1"/>
  <c r="G32" i="348" s="1"/>
  <c r="M20" i="1" s="1"/>
  <c r="D32" i="348"/>
  <c r="G20" i="1" s="1"/>
  <c r="C32" i="348"/>
  <c r="E20" i="1" s="1"/>
  <c r="E32" i="348"/>
  <c r="I20" i="1" s="1"/>
  <c r="S70" i="348"/>
  <c r="F26" i="348" s="1"/>
  <c r="K14" i="1" s="1"/>
  <c r="U70" i="348"/>
  <c r="V70" i="348" s="1"/>
  <c r="V94" i="348" s="1"/>
  <c r="S68" i="348"/>
  <c r="F24" i="348" s="1"/>
  <c r="K12" i="1" s="1"/>
  <c r="U68" i="348"/>
  <c r="V68" i="348" s="1"/>
  <c r="V92" i="348" s="1"/>
  <c r="W92" i="348" s="1"/>
  <c r="G24" i="348" s="1"/>
  <c r="M12" i="1" s="1"/>
  <c r="S73" i="348"/>
  <c r="U73" i="348"/>
  <c r="V73" i="348" s="1"/>
  <c r="V97" i="348" s="1"/>
  <c r="W97" i="348" s="1"/>
  <c r="G29" i="348" s="1"/>
  <c r="M17" i="1" s="1"/>
  <c r="S69" i="348"/>
  <c r="F25" i="348" s="1"/>
  <c r="K13" i="1" s="1"/>
  <c r="U69" i="348"/>
  <c r="V69" i="348" s="1"/>
  <c r="V93" i="348" s="1"/>
  <c r="W93" i="348" s="1"/>
  <c r="G25" i="348" s="1"/>
  <c r="M13" i="1" s="1"/>
  <c r="S67" i="348"/>
  <c r="F23" i="348" s="1"/>
  <c r="K11" i="1" s="1"/>
  <c r="U67" i="348"/>
  <c r="V67" i="348" s="1"/>
  <c r="V91" i="348" s="1"/>
  <c r="W91" i="348" s="1"/>
  <c r="U75" i="348"/>
  <c r="V75" i="348" s="1"/>
  <c r="V99" i="348" s="1"/>
  <c r="W99" i="348" s="1"/>
  <c r="G31" i="348" s="1"/>
  <c r="M19" i="1" s="1"/>
  <c r="S75" i="348"/>
  <c r="F31" i="348" s="1"/>
  <c r="K19" i="1" s="1"/>
  <c r="S71" i="348"/>
  <c r="F27" i="348" s="1"/>
  <c r="K15" i="1" s="1"/>
  <c r="U71" i="348"/>
  <c r="V71" i="348" s="1"/>
  <c r="V95" i="348" s="1"/>
  <c r="W95" i="348" s="1"/>
  <c r="G27" i="348" s="1"/>
  <c r="M15" i="1" s="1"/>
  <c r="D30" i="348"/>
  <c r="G18" i="1" s="1"/>
  <c r="C30" i="348"/>
  <c r="E18" i="1" s="1"/>
  <c r="E30" i="348"/>
  <c r="I18" i="1" s="1"/>
  <c r="D28" i="348"/>
  <c r="G16" i="1" s="1"/>
  <c r="C28" i="348"/>
  <c r="E16" i="1" s="1"/>
  <c r="E28" i="348"/>
  <c r="I16" i="1" s="1"/>
  <c r="D26" i="348"/>
  <c r="G14" i="1" s="1"/>
  <c r="C26" i="348"/>
  <c r="E14" i="1" s="1"/>
  <c r="E26" i="348"/>
  <c r="I14" i="1" s="1"/>
  <c r="W94" i="348"/>
  <c r="G26" i="348" s="1"/>
  <c r="M14" i="1" s="1"/>
  <c r="D24" i="348"/>
  <c r="G12" i="1" s="1"/>
  <c r="C24" i="348"/>
  <c r="E12" i="1" s="1"/>
  <c r="E24" i="348"/>
  <c r="I12" i="1" s="1"/>
  <c r="D29" i="348"/>
  <c r="G17" i="1" s="1"/>
  <c r="F29" i="348"/>
  <c r="K17" i="1" s="1"/>
  <c r="C29" i="348"/>
  <c r="E17" i="1" s="1"/>
  <c r="E29" i="348"/>
  <c r="I17" i="1" s="1"/>
  <c r="D25" i="348"/>
  <c r="G13" i="1" s="1"/>
  <c r="C25" i="348"/>
  <c r="E13" i="1" s="1"/>
  <c r="E25" i="348"/>
  <c r="I13" i="1" s="1"/>
  <c r="D23" i="348"/>
  <c r="G11" i="1" s="1"/>
  <c r="E23" i="348"/>
  <c r="I11" i="1" s="1"/>
  <c r="D31" i="348"/>
  <c r="G19" i="1" s="1"/>
  <c r="C31" i="348"/>
  <c r="E19" i="1" s="1"/>
  <c r="E31" i="348"/>
  <c r="I19" i="1" s="1"/>
  <c r="D27" i="348"/>
  <c r="G15" i="1" s="1"/>
  <c r="C27" i="348"/>
  <c r="E15" i="1" s="1"/>
  <c r="E27" i="348"/>
  <c r="I15" i="1" s="1"/>
  <c r="U74" i="348"/>
  <c r="V74" i="348" s="1"/>
  <c r="V98" i="348" s="1"/>
  <c r="W98" i="348" s="1"/>
  <c r="G30" i="348" s="1"/>
  <c r="M18" i="1" s="1"/>
  <c r="S74" i="348"/>
  <c r="F30" i="348" s="1"/>
  <c r="K18" i="1" s="1"/>
  <c r="U72" i="348"/>
  <c r="V72" i="348" s="1"/>
  <c r="V96" i="348" s="1"/>
  <c r="W96" i="348" s="1"/>
  <c r="G28" i="348" s="1"/>
  <c r="M16" i="1" s="1"/>
  <c r="S72" i="348"/>
  <c r="F28" i="348" s="1"/>
  <c r="K16" i="1" s="1"/>
  <c r="G23" i="348" l="1"/>
  <c r="M11" i="1" s="1"/>
</calcChain>
</file>

<file path=xl/sharedStrings.xml><?xml version="1.0" encoding="utf-8"?>
<sst xmlns="http://schemas.openxmlformats.org/spreadsheetml/2006/main" count="281" uniqueCount="143">
  <si>
    <t>5000K,80Min</t>
  </si>
  <si>
    <t>4000K,80Min</t>
  </si>
  <si>
    <t>3500K,80Min</t>
  </si>
  <si>
    <t>3000K,80Min</t>
  </si>
  <si>
    <t>2700K,80Min</t>
  </si>
  <si>
    <t>lm/W</t>
  </si>
  <si>
    <t>Series</t>
  </si>
  <si>
    <t>Parallel</t>
  </si>
  <si>
    <t>Judgement</t>
  </si>
  <si>
    <t>U/L</t>
  </si>
  <si>
    <t>L/L</t>
  </si>
  <si>
    <t>IF Limit</t>
  </si>
  <si>
    <t>Tj Limit</t>
  </si>
  <si>
    <t>Tj</t>
  </si>
  <si>
    <t>4,000K</t>
  </si>
  <si>
    <t>80Min</t>
  </si>
  <si>
    <t>3,500K</t>
  </si>
  <si>
    <t>2,700K</t>
  </si>
  <si>
    <t>a</t>
  </si>
  <si>
    <t>b</t>
  </si>
  <si>
    <t>c</t>
  </si>
  <si>
    <t>Tc(x)-lm%(y)</t>
  </si>
  <si>
    <t>Tc(x)-VF%(y)</t>
  </si>
  <si>
    <t>IF(x)-VF%(y)</t>
  </si>
  <si>
    <t>4,000K</t>
    <phoneticPr fontId="2"/>
  </si>
  <si>
    <t>90Min</t>
    <phoneticPr fontId="2"/>
  </si>
  <si>
    <t>CCT,Ra</t>
    <phoneticPr fontId="2"/>
  </si>
  <si>
    <t>Tc (C)</t>
    <phoneticPr fontId="2"/>
  </si>
  <si>
    <t>Product code</t>
    <phoneticPr fontId="2"/>
  </si>
  <si>
    <t>Tj (C)</t>
    <phoneticPr fontId="2"/>
  </si>
  <si>
    <t>Code</t>
    <phoneticPr fontId="2"/>
  </si>
  <si>
    <t>CITILED is a registered trademark of CITIZEN ELECTRONICS CO., LTD. Japan.</t>
    <phoneticPr fontId="2"/>
  </si>
  <si>
    <t>Series</t>
    <phoneticPr fontId="2"/>
  </si>
  <si>
    <t>CCT</t>
    <phoneticPr fontId="2"/>
  </si>
  <si>
    <t>Ra</t>
    <phoneticPr fontId="2"/>
  </si>
  <si>
    <t>CCT&amp;Ra</t>
    <phoneticPr fontId="2"/>
  </si>
  <si>
    <t>Color code</t>
    <phoneticPr fontId="2"/>
  </si>
  <si>
    <t>Phosphor</t>
    <phoneticPr fontId="2"/>
  </si>
  <si>
    <t>5,000K</t>
    <phoneticPr fontId="2"/>
  </si>
  <si>
    <t>65Typ</t>
    <phoneticPr fontId="2"/>
  </si>
  <si>
    <t>80Min</t>
    <phoneticPr fontId="2"/>
  </si>
  <si>
    <t>3,000K</t>
    <phoneticPr fontId="2"/>
  </si>
  <si>
    <t>3,500K</t>
    <phoneticPr fontId="2"/>
  </si>
  <si>
    <t>2,700K</t>
    <phoneticPr fontId="2"/>
  </si>
  <si>
    <t>Luminous flux</t>
    <phoneticPr fontId="2"/>
  </si>
  <si>
    <t>If (mA)</t>
    <phoneticPr fontId="2"/>
  </si>
  <si>
    <t>Vf (V)</t>
    <phoneticPr fontId="2"/>
  </si>
  <si>
    <t>Pd (W)</t>
    <phoneticPr fontId="2"/>
  </si>
  <si>
    <t>lm/W</t>
    <phoneticPr fontId="2"/>
  </si>
  <si>
    <t>lm</t>
    <phoneticPr fontId="2"/>
  </si>
  <si>
    <t>Forward current</t>
    <phoneticPr fontId="2"/>
  </si>
  <si>
    <t>φv (lm)</t>
    <phoneticPr fontId="2"/>
  </si>
  <si>
    <t>mA</t>
    <phoneticPr fontId="2"/>
  </si>
  <si>
    <t>If</t>
    <phoneticPr fontId="2"/>
  </si>
  <si>
    <t>Vf</t>
    <phoneticPr fontId="2"/>
  </si>
  <si>
    <t>W</t>
    <phoneticPr fontId="2"/>
  </si>
  <si>
    <t>[Luminous flux]</t>
    <phoneticPr fontId="2"/>
  </si>
  <si>
    <t>[Forward current]</t>
    <phoneticPr fontId="2"/>
  </si>
  <si>
    <t>Limit</t>
    <phoneticPr fontId="2"/>
  </si>
  <si>
    <t>IF Limit</t>
    <phoneticPr fontId="2"/>
  </si>
  <si>
    <t>L/L</t>
    <phoneticPr fontId="2"/>
  </si>
  <si>
    <t>U/L</t>
    <phoneticPr fontId="2"/>
  </si>
  <si>
    <t>Tj Limit</t>
    <phoneticPr fontId="2"/>
  </si>
  <si>
    <t>IF(x)-lm%(y)</t>
    <phoneticPr fontId="2"/>
  </si>
  <si>
    <t>lm%(x)-IF(y)</t>
    <phoneticPr fontId="2"/>
  </si>
  <si>
    <t>IF(x)-VF%(y)</t>
    <phoneticPr fontId="2"/>
  </si>
  <si>
    <t>Tc(x)-lm%(y)</t>
    <phoneticPr fontId="2"/>
  </si>
  <si>
    <t>Tc(x)-VF%(y)</t>
    <phoneticPr fontId="2"/>
  </si>
  <si>
    <t>a</t>
    <phoneticPr fontId="2"/>
  </si>
  <si>
    <t>b</t>
    <phoneticPr fontId="2"/>
  </si>
  <si>
    <t>c</t>
    <phoneticPr fontId="2"/>
  </si>
  <si>
    <t>VF</t>
    <phoneticPr fontId="2"/>
  </si>
  <si>
    <t>5000K,65Typ</t>
    <phoneticPr fontId="2"/>
  </si>
  <si>
    <t>Tc</t>
    <phoneticPr fontId="2"/>
  </si>
  <si>
    <t>lm Tc-compensation</t>
    <phoneticPr fontId="2"/>
  </si>
  <si>
    <t>lm/die</t>
    <phoneticPr fontId="2"/>
  </si>
  <si>
    <t>lm%</t>
    <phoneticPr fontId="2"/>
  </si>
  <si>
    <t>IF/die</t>
    <phoneticPr fontId="2"/>
  </si>
  <si>
    <t>IF/PKG</t>
    <phoneticPr fontId="2"/>
  </si>
  <si>
    <t>VF Tc-compensation</t>
    <phoneticPr fontId="2"/>
  </si>
  <si>
    <t>Rj-c</t>
    <phoneticPr fontId="2"/>
  </si>
  <si>
    <t>Tj</t>
    <phoneticPr fontId="2"/>
  </si>
  <si>
    <t>Judgement</t>
    <phoneticPr fontId="2"/>
  </si>
  <si>
    <t>Shown</t>
    <phoneticPr fontId="2"/>
  </si>
  <si>
    <t>CLL012-0305</t>
    <phoneticPr fontId="2"/>
  </si>
  <si>
    <t>CLL022-1202</t>
    <phoneticPr fontId="2"/>
  </si>
  <si>
    <t>CLL022-1203</t>
    <phoneticPr fontId="2"/>
  </si>
  <si>
    <t>CLL022-1204</t>
    <phoneticPr fontId="2"/>
  </si>
  <si>
    <t>CLL032-1205</t>
    <phoneticPr fontId="2"/>
  </si>
  <si>
    <t>CLL032-1206</t>
    <phoneticPr fontId="2"/>
  </si>
  <si>
    <t>CLL032-1208</t>
    <phoneticPr fontId="2"/>
  </si>
  <si>
    <t>CLL032-1212</t>
    <phoneticPr fontId="2"/>
  </si>
  <si>
    <t>CLL042-1218</t>
    <phoneticPr fontId="2"/>
  </si>
  <si>
    <t>CLL042-1818</t>
    <phoneticPr fontId="2"/>
  </si>
  <si>
    <t>CLL052-1825</t>
    <phoneticPr fontId="2"/>
  </si>
  <si>
    <t>90Min</t>
    <phoneticPr fontId="2"/>
  </si>
  <si>
    <t>5,000K,90Min</t>
    <phoneticPr fontId="2"/>
  </si>
  <si>
    <t>4,000K,90Min</t>
    <phoneticPr fontId="2"/>
  </si>
  <si>
    <t>mA</t>
    <phoneticPr fontId="2"/>
  </si>
  <si>
    <t>Tc</t>
    <phoneticPr fontId="2"/>
  </si>
  <si>
    <t>d</t>
    <phoneticPr fontId="2"/>
  </si>
  <si>
    <t>d</t>
    <phoneticPr fontId="2"/>
  </si>
  <si>
    <t>Please contact our sales</t>
    <phoneticPr fontId="2"/>
  </si>
  <si>
    <t>Tc Limit</t>
    <phoneticPr fontId="2"/>
  </si>
  <si>
    <t>Tc Limit</t>
    <phoneticPr fontId="2"/>
  </si>
  <si>
    <t>CLU024-1201B8</t>
    <phoneticPr fontId="2"/>
  </si>
  <si>
    <t>CLU024-1202B8</t>
    <phoneticPr fontId="2"/>
  </si>
  <si>
    <t>CLU024-1203B8</t>
    <phoneticPr fontId="2"/>
  </si>
  <si>
    <t>CLU024-1204B8</t>
    <phoneticPr fontId="2"/>
  </si>
  <si>
    <t>CLU034-1205B8</t>
    <phoneticPr fontId="2"/>
  </si>
  <si>
    <t>CLU034-1206B8</t>
    <phoneticPr fontId="2"/>
  </si>
  <si>
    <t>CLU034-1208B8</t>
    <phoneticPr fontId="2"/>
  </si>
  <si>
    <t>CLU044-1212B8</t>
    <phoneticPr fontId="2"/>
  </si>
  <si>
    <t>CLU044-1812B8</t>
    <phoneticPr fontId="2"/>
  </si>
  <si>
    <t>CLU044-1818B8</t>
    <phoneticPr fontId="2"/>
  </si>
  <si>
    <t>CLU054-1825B8</t>
    <phoneticPr fontId="2"/>
  </si>
  <si>
    <t>A2</t>
  </si>
  <si>
    <t>B8</t>
    <phoneticPr fontId="2"/>
  </si>
  <si>
    <t>5000K,70Min</t>
  </si>
  <si>
    <t>4000K,70Min</t>
  </si>
  <si>
    <t>3000K,70Min</t>
  </si>
  <si>
    <t>503M1</t>
  </si>
  <si>
    <t>403M1</t>
  </si>
  <si>
    <t>353M1</t>
  </si>
  <si>
    <t>303M1</t>
  </si>
  <si>
    <t>273M1</t>
  </si>
  <si>
    <t>50AL7</t>
  </si>
  <si>
    <t>C8</t>
  </si>
  <si>
    <t>40AL7</t>
  </si>
  <si>
    <t>30AL7</t>
  </si>
  <si>
    <t>U/L 1</t>
    <phoneticPr fontId="2"/>
  </si>
  <si>
    <t>U/L 2</t>
    <phoneticPr fontId="2"/>
  </si>
  <si>
    <t>CW19</t>
    <phoneticPr fontId="2"/>
  </si>
  <si>
    <t>＊＊＊係数</t>
    <rPh sb="3" eb="5">
      <t>ケイスウ</t>
    </rPh>
    <phoneticPr fontId="2"/>
  </si>
  <si>
    <t>＊＊＊</t>
    <phoneticPr fontId="2"/>
  </si>
  <si>
    <t>CW19</t>
    <phoneticPr fontId="2"/>
  </si>
  <si>
    <t>IF Limit</t>
    <phoneticPr fontId="2"/>
  </si>
  <si>
    <t>U/L</t>
    <phoneticPr fontId="2"/>
  </si>
  <si>
    <r>
      <t>CW19</t>
    </r>
    <r>
      <rPr>
        <b/>
        <sz val="16"/>
        <color theme="0"/>
        <rFont val="ＭＳ Ｐゴシック"/>
        <family val="3"/>
        <charset val="128"/>
      </rPr>
      <t>係数</t>
    </r>
    <rPh sb="4" eb="6">
      <t>ケイスウ</t>
    </rPh>
    <phoneticPr fontId="2"/>
  </si>
  <si>
    <t>Ver3.10</t>
    <phoneticPr fontId="2"/>
  </si>
  <si>
    <r>
      <t>y=ax</t>
    </r>
    <r>
      <rPr>
        <b/>
        <vertAlign val="superscript"/>
        <sz val="14"/>
        <color theme="0"/>
        <rFont val="Arial"/>
        <family val="2"/>
      </rPr>
      <t>3</t>
    </r>
    <r>
      <rPr>
        <b/>
        <sz val="14"/>
        <color theme="0"/>
        <rFont val="Arial"/>
        <family val="2"/>
      </rPr>
      <t>+bx</t>
    </r>
    <r>
      <rPr>
        <b/>
        <vertAlign val="superscript"/>
        <sz val="14"/>
        <color theme="0"/>
        <rFont val="Arial"/>
        <family val="2"/>
      </rPr>
      <t>2</t>
    </r>
    <r>
      <rPr>
        <b/>
        <sz val="14"/>
        <color theme="0"/>
        <rFont val="Arial"/>
        <family val="2"/>
      </rPr>
      <t>+cx+d/y=ax</t>
    </r>
    <r>
      <rPr>
        <b/>
        <vertAlign val="superscript"/>
        <sz val="14"/>
        <color theme="0"/>
        <rFont val="Arial"/>
        <family val="2"/>
      </rPr>
      <t>2</t>
    </r>
    <r>
      <rPr>
        <b/>
        <sz val="14"/>
        <color theme="0"/>
        <rFont val="Arial"/>
        <family val="2"/>
      </rPr>
      <t>+bx+c</t>
    </r>
    <phoneticPr fontId="2"/>
  </si>
  <si>
    <r>
      <t>60mA,Tc25</t>
    </r>
    <r>
      <rPr>
        <sz val="11"/>
        <color theme="0"/>
        <rFont val="ＭＳ Ｐゴシック"/>
        <family val="3"/>
        <charset val="128"/>
      </rPr>
      <t>℃</t>
    </r>
    <phoneticPr fontId="2"/>
  </si>
  <si>
    <r>
      <t>⊿</t>
    </r>
    <r>
      <rPr>
        <sz val="11"/>
        <color theme="0"/>
        <rFont val="Arial"/>
        <family val="2"/>
      </rPr>
      <t>T j-c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</si>
</sst>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&quot;℃&quot;"/>
    <numFmt numFmtId="177" formatCode="0.0%"/>
    <numFmt numFmtId="178" formatCode="0.0"/>
    <numFmt numFmtId="179" formatCode="0.0000"/>
    <numFmt numFmtId="180" formatCode="0.000"/>
    <numFmt numFmtId="181" formatCode="0.000000000"/>
    <numFmt numFmtId="182" formatCode="0.0000000000"/>
    <numFmt numFmtId="183" formatCode="0.000%"/>
    <numFmt numFmtId="184" formatCode="0.0_ "/>
    <numFmt numFmtId="185" formatCode="0.0_);[Red]\(0.0\)"/>
    <numFmt numFmtId="186" formatCode="0_ "/>
    <numFmt numFmtId="187" formatCode="0_);[Red]\(0\)"/>
    <numFmt numFmtId="188" formatCode="0.0000E+00"/>
    <numFmt numFmtId="189" formatCode="0.0000.E+00"/>
  </numFmts>
  <fonts count="2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0"/>
      <name val="ＭＳ Ｐゴシック"/>
      <family val="3"/>
      <charset val="128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sz val="11"/>
      <color theme="0"/>
      <name val="ＭＳ Ｐゴシック"/>
      <family val="3"/>
      <charset val="128"/>
    </font>
    <font>
      <b/>
      <i/>
      <sz val="11"/>
      <color theme="0"/>
      <name val="Arial"/>
      <family val="2"/>
    </font>
    <font>
      <strike/>
      <sz val="11"/>
      <color theme="0"/>
      <name val="Arial"/>
      <family val="2"/>
    </font>
    <font>
      <b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dashed">
        <color indexed="12"/>
      </left>
      <right style="medium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38" fontId="3" fillId="3" borderId="4" xfId="2" applyFont="1" applyFill="1" applyBorder="1" applyAlignment="1" applyProtection="1">
      <alignment vertical="center"/>
      <protection locked="0"/>
    </xf>
    <xf numFmtId="176" fontId="3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Protection="1"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184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9" fillId="2" borderId="0" xfId="0" applyFont="1" applyFill="1" applyAlignment="1"/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7" fontId="4" fillId="0" borderId="0" xfId="1" applyNumberFormat="1" applyFont="1" applyFill="1" applyBorder="1"/>
    <xf numFmtId="177" fontId="4" fillId="0" borderId="0" xfId="1" applyNumberFormat="1" applyFont="1"/>
    <xf numFmtId="9" fontId="4" fillId="0" borderId="0" xfId="0" applyNumberFormat="1" applyFont="1"/>
    <xf numFmtId="0" fontId="4" fillId="0" borderId="0" xfId="0" applyFont="1" applyAlignment="1">
      <alignment horizontal="left"/>
    </xf>
    <xf numFmtId="0" fontId="3" fillId="3" borderId="12" xfId="0" applyFont="1" applyFill="1" applyBorder="1" applyAlignment="1" applyProtection="1">
      <alignment horizontal="left" vertical="center"/>
      <protection hidden="1"/>
    </xf>
    <xf numFmtId="0" fontId="11" fillId="9" borderId="0" xfId="0" applyFont="1" applyFill="1" applyBorder="1" applyProtection="1">
      <protection hidden="1"/>
    </xf>
    <xf numFmtId="0" fontId="11" fillId="9" borderId="0" xfId="0" applyFont="1" applyFill="1" applyBorder="1" applyAlignment="1" applyProtection="1">
      <alignment shrinkToFit="1"/>
      <protection hidden="1"/>
    </xf>
    <xf numFmtId="0" fontId="12" fillId="9" borderId="0" xfId="0" applyFont="1" applyFill="1" applyBorder="1" applyAlignment="1" applyProtection="1">
      <alignment shrinkToFit="1"/>
      <protection hidden="1"/>
    </xf>
    <xf numFmtId="177" fontId="11" fillId="9" borderId="0" xfId="1" applyNumberFormat="1" applyFont="1" applyFill="1" applyBorder="1"/>
    <xf numFmtId="0" fontId="11" fillId="9" borderId="0" xfId="0" applyFont="1" applyFill="1" applyBorder="1"/>
    <xf numFmtId="0" fontId="13" fillId="9" borderId="0" xfId="0" applyFont="1" applyFill="1" applyBorder="1" applyAlignment="1" applyProtection="1">
      <alignment shrinkToFit="1"/>
      <protection hidden="1"/>
    </xf>
    <xf numFmtId="0" fontId="10" fillId="9" borderId="0" xfId="0" applyFont="1" applyFill="1" applyBorder="1" applyProtection="1">
      <protection hidden="1"/>
    </xf>
    <xf numFmtId="178" fontId="11" fillId="9" borderId="0" xfId="0" applyNumberFormat="1" applyFont="1" applyFill="1" applyBorder="1" applyProtection="1">
      <protection hidden="1"/>
    </xf>
    <xf numFmtId="0" fontId="11" fillId="9" borderId="0" xfId="0" applyFont="1" applyFill="1" applyBorder="1" applyAlignment="1">
      <alignment horizontal="center"/>
    </xf>
    <xf numFmtId="188" fontId="11" fillId="9" borderId="0" xfId="0" applyNumberFormat="1" applyFont="1" applyFill="1" applyBorder="1"/>
    <xf numFmtId="182" fontId="11" fillId="9" borderId="0" xfId="0" applyNumberFormat="1" applyFont="1" applyFill="1" applyBorder="1"/>
    <xf numFmtId="181" fontId="11" fillId="9" borderId="0" xfId="0" applyNumberFormat="1" applyFont="1" applyFill="1" applyBorder="1"/>
    <xf numFmtId="0" fontId="11" fillId="9" borderId="0" xfId="0" applyFont="1" applyFill="1" applyBorder="1" applyAlignment="1" applyProtection="1">
      <alignment horizontal="center"/>
      <protection hidden="1"/>
    </xf>
    <xf numFmtId="0" fontId="11" fillId="9" borderId="0" xfId="0" applyFont="1" applyFill="1" applyBorder="1" applyAlignment="1" applyProtection="1">
      <alignment horizontal="center" vertical="center" wrapText="1"/>
      <protection hidden="1"/>
    </xf>
    <xf numFmtId="0" fontId="13" fillId="9" borderId="0" xfId="0" applyFont="1" applyFill="1" applyBorder="1" applyAlignment="1" applyProtection="1">
      <alignment horizontal="center" vertical="center" wrapText="1"/>
      <protection hidden="1"/>
    </xf>
    <xf numFmtId="10" fontId="11" fillId="9" borderId="0" xfId="0" applyNumberFormat="1" applyFont="1" applyFill="1" applyBorder="1" applyProtection="1">
      <protection hidden="1"/>
    </xf>
    <xf numFmtId="179" fontId="11" fillId="9" borderId="0" xfId="0" applyNumberFormat="1" applyFont="1" applyFill="1" applyBorder="1" applyProtection="1">
      <protection hidden="1"/>
    </xf>
    <xf numFmtId="9" fontId="11" fillId="9" borderId="0" xfId="0" applyNumberFormat="1" applyFont="1" applyFill="1" applyBorder="1" applyProtection="1">
      <protection hidden="1"/>
    </xf>
    <xf numFmtId="9" fontId="10" fillId="9" borderId="0" xfId="1" applyNumberFormat="1" applyFont="1" applyFill="1" applyBorder="1" applyProtection="1">
      <protection hidden="1"/>
    </xf>
    <xf numFmtId="38" fontId="19" fillId="9" borderId="0" xfId="0" applyNumberFormat="1" applyFont="1" applyFill="1" applyBorder="1" applyProtection="1">
      <protection hidden="1"/>
    </xf>
    <xf numFmtId="177" fontId="11" fillId="9" borderId="0" xfId="1" applyNumberFormat="1" applyFont="1" applyFill="1" applyBorder="1" applyProtection="1">
      <protection hidden="1"/>
    </xf>
    <xf numFmtId="1" fontId="19" fillId="9" borderId="0" xfId="0" applyNumberFormat="1" applyFont="1" applyFill="1" applyBorder="1" applyProtection="1">
      <protection hidden="1"/>
    </xf>
    <xf numFmtId="183" fontId="11" fillId="9" borderId="0" xfId="1" applyNumberFormat="1" applyFont="1" applyFill="1" applyBorder="1" applyProtection="1">
      <protection hidden="1"/>
    </xf>
    <xf numFmtId="0" fontId="11" fillId="9" borderId="0" xfId="0" applyFont="1" applyFill="1" applyBorder="1" applyAlignment="1" applyProtection="1">
      <alignment horizontal="right"/>
      <protection hidden="1"/>
    </xf>
    <xf numFmtId="0" fontId="13" fillId="9" borderId="0" xfId="0" applyFont="1" applyFill="1" applyBorder="1" applyAlignment="1" applyProtection="1">
      <alignment horizontal="left" vertical="center"/>
      <protection hidden="1"/>
    </xf>
    <xf numFmtId="0" fontId="10" fillId="9" borderId="0" xfId="0" applyFont="1" applyFill="1" applyBorder="1" applyAlignment="1" applyProtection="1">
      <alignment horizontal="center"/>
      <protection hidden="1"/>
    </xf>
    <xf numFmtId="0" fontId="10" fillId="9" borderId="0" xfId="0" applyFont="1" applyFill="1" applyBorder="1" applyAlignment="1" applyProtection="1">
      <alignment horizontal="center" shrinkToFit="1"/>
      <protection hidden="1"/>
    </xf>
    <xf numFmtId="0" fontId="18" fillId="9" borderId="0" xfId="0" applyFont="1" applyFill="1" applyBorder="1" applyAlignment="1" applyProtection="1">
      <alignment horizontal="center"/>
      <protection hidden="1"/>
    </xf>
    <xf numFmtId="1" fontId="10" fillId="9" borderId="0" xfId="0" applyNumberFormat="1" applyFont="1" applyFill="1" applyBorder="1" applyProtection="1">
      <protection hidden="1"/>
    </xf>
    <xf numFmtId="184" fontId="11" fillId="9" borderId="0" xfId="1" applyNumberFormat="1" applyFont="1" applyFill="1" applyBorder="1" applyProtection="1">
      <protection hidden="1"/>
    </xf>
    <xf numFmtId="184" fontId="10" fillId="9" borderId="0" xfId="1" applyNumberFormat="1" applyFont="1" applyFill="1" applyBorder="1" applyProtection="1">
      <protection hidden="1"/>
    </xf>
    <xf numFmtId="178" fontId="10" fillId="9" borderId="0" xfId="0" applyNumberFormat="1" applyFont="1" applyFill="1" applyBorder="1" applyProtection="1">
      <protection hidden="1"/>
    </xf>
    <xf numFmtId="179" fontId="20" fillId="9" borderId="0" xfId="0" applyNumberFormat="1" applyFont="1" applyFill="1" applyBorder="1" applyProtection="1">
      <protection hidden="1"/>
    </xf>
    <xf numFmtId="9" fontId="20" fillId="9" borderId="0" xfId="0" applyNumberFormat="1" applyFont="1" applyFill="1" applyBorder="1" applyProtection="1">
      <protection hidden="1"/>
    </xf>
    <xf numFmtId="178" fontId="20" fillId="9" borderId="0" xfId="0" applyNumberFormat="1" applyFont="1" applyFill="1" applyBorder="1" applyProtection="1">
      <protection hidden="1"/>
    </xf>
    <xf numFmtId="177" fontId="10" fillId="9" borderId="0" xfId="1" applyNumberFormat="1" applyFont="1" applyFill="1" applyBorder="1" applyProtection="1">
      <protection hidden="1"/>
    </xf>
    <xf numFmtId="177" fontId="11" fillId="9" borderId="0" xfId="0" applyNumberFormat="1" applyFont="1" applyFill="1" applyBorder="1" applyProtection="1">
      <protection hidden="1"/>
    </xf>
    <xf numFmtId="0" fontId="19" fillId="9" borderId="0" xfId="0" applyFont="1" applyFill="1" applyBorder="1" applyProtection="1">
      <protection hidden="1"/>
    </xf>
    <xf numFmtId="180" fontId="19" fillId="9" borderId="0" xfId="0" applyNumberFormat="1" applyFont="1" applyFill="1" applyBorder="1" applyProtection="1">
      <protection hidden="1"/>
    </xf>
    <xf numFmtId="180" fontId="10" fillId="9" borderId="0" xfId="0" applyNumberFormat="1" applyFont="1" applyFill="1" applyBorder="1" applyProtection="1">
      <protection hidden="1"/>
    </xf>
    <xf numFmtId="40" fontId="11" fillId="9" borderId="0" xfId="2" applyNumberFormat="1" applyFont="1" applyFill="1" applyBorder="1" applyProtection="1">
      <protection hidden="1"/>
    </xf>
    <xf numFmtId="2" fontId="11" fillId="9" borderId="0" xfId="0" applyNumberFormat="1" applyFont="1" applyFill="1" applyBorder="1" applyProtection="1">
      <protection hidden="1"/>
    </xf>
    <xf numFmtId="0" fontId="11" fillId="9" borderId="0" xfId="0" applyFont="1" applyFill="1" applyBorder="1" applyAlignment="1" applyProtection="1">
      <alignment horizontal="left" vertical="center" wrapText="1"/>
      <protection hidden="1"/>
    </xf>
    <xf numFmtId="0" fontId="13" fillId="9" borderId="0" xfId="0" applyFont="1" applyFill="1" applyBorder="1" applyAlignment="1" applyProtection="1">
      <alignment horizontal="left" vertical="center" wrapText="1"/>
      <protection hidden="1"/>
    </xf>
    <xf numFmtId="0" fontId="11" fillId="9" borderId="0" xfId="0" applyFont="1" applyFill="1" applyBorder="1" applyAlignment="1" applyProtection="1">
      <alignment wrapText="1"/>
      <protection hidden="1"/>
    </xf>
    <xf numFmtId="1" fontId="11" fillId="9" borderId="0" xfId="0" applyNumberFormat="1" applyFont="1" applyFill="1" applyBorder="1" applyProtection="1">
      <protection hidden="1"/>
    </xf>
    <xf numFmtId="0" fontId="16" fillId="9" borderId="0" xfId="0" applyFont="1" applyFill="1" applyBorder="1"/>
    <xf numFmtId="184" fontId="10" fillId="9" borderId="0" xfId="0" applyNumberFormat="1" applyFont="1" applyFill="1" applyBorder="1" applyAlignment="1"/>
    <xf numFmtId="0" fontId="18" fillId="9" borderId="0" xfId="0" applyFont="1" applyFill="1" applyBorder="1" applyAlignment="1">
      <alignment horizontal="center"/>
    </xf>
    <xf numFmtId="189" fontId="11" fillId="9" borderId="0" xfId="0" applyNumberFormat="1" applyFont="1" applyFill="1" applyBorder="1"/>
    <xf numFmtId="186" fontId="10" fillId="9" borderId="0" xfId="0" applyNumberFormat="1" applyFont="1" applyFill="1" applyBorder="1" applyAlignment="1"/>
    <xf numFmtId="186" fontId="4" fillId="0" borderId="12" xfId="0" applyNumberFormat="1" applyFont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187" fontId="6" fillId="7" borderId="16" xfId="0" applyNumberFormat="1" applyFont="1" applyFill="1" applyBorder="1" applyAlignment="1" applyProtection="1">
      <alignment horizontal="right" vertical="center"/>
      <protection hidden="1"/>
    </xf>
    <xf numFmtId="187" fontId="6" fillId="7" borderId="17" xfId="0" applyNumberFormat="1" applyFont="1" applyFill="1" applyBorder="1" applyAlignment="1" applyProtection="1">
      <alignment horizontal="right" vertical="center"/>
      <protection hidden="1"/>
    </xf>
    <xf numFmtId="0" fontId="8" fillId="6" borderId="18" xfId="0" applyFont="1" applyFill="1" applyBorder="1" applyAlignment="1" applyProtection="1">
      <alignment horizontal="center" vertical="center"/>
      <protection hidden="1"/>
    </xf>
    <xf numFmtId="0" fontId="8" fillId="6" borderId="19" xfId="0" applyFont="1" applyFill="1" applyBorder="1" applyAlignment="1" applyProtection="1">
      <alignment horizontal="center" vertical="center"/>
      <protection hidden="1"/>
    </xf>
    <xf numFmtId="187" fontId="6" fillId="8" borderId="20" xfId="0" applyNumberFormat="1" applyFont="1" applyFill="1" applyBorder="1" applyAlignment="1" applyProtection="1">
      <alignment horizontal="right" vertical="center"/>
      <protection hidden="1"/>
    </xf>
    <xf numFmtId="187" fontId="6" fillId="8" borderId="11" xfId="0" applyNumberFormat="1" applyFont="1" applyFill="1" applyBorder="1" applyAlignment="1" applyProtection="1">
      <alignment horizontal="right" vertical="center"/>
      <protection hidden="1"/>
    </xf>
    <xf numFmtId="187" fontId="6" fillId="8" borderId="16" xfId="0" applyNumberFormat="1" applyFont="1" applyFill="1" applyBorder="1" applyAlignment="1" applyProtection="1">
      <alignment horizontal="right" vertical="center"/>
      <protection hidden="1"/>
    </xf>
    <xf numFmtId="187" fontId="6" fillId="8" borderId="17" xfId="0" applyNumberFormat="1" applyFont="1" applyFill="1" applyBorder="1" applyAlignment="1" applyProtection="1">
      <alignment horizontal="right" vertical="center"/>
      <protection hidden="1"/>
    </xf>
    <xf numFmtId="187" fontId="6" fillId="7" borderId="13" xfId="0" applyNumberFormat="1" applyFont="1" applyFill="1" applyBorder="1" applyAlignment="1" applyProtection="1">
      <alignment horizontal="right" vertical="center"/>
      <protection hidden="1"/>
    </xf>
    <xf numFmtId="187" fontId="7" fillId="7" borderId="13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187" fontId="7" fillId="8" borderId="24" xfId="0" applyNumberFormat="1" applyFont="1" applyFill="1" applyBorder="1" applyAlignment="1">
      <alignment vertical="center"/>
    </xf>
    <xf numFmtId="187" fontId="7" fillId="8" borderId="13" xfId="0" applyNumberFormat="1" applyFont="1" applyFill="1" applyBorder="1" applyAlignment="1">
      <alignment vertical="center"/>
    </xf>
    <xf numFmtId="185" fontId="6" fillId="3" borderId="16" xfId="0" applyNumberFormat="1" applyFont="1" applyFill="1" applyBorder="1" applyAlignment="1" applyProtection="1">
      <alignment horizontal="right" vertical="center"/>
      <protection hidden="1"/>
    </xf>
    <xf numFmtId="185" fontId="6" fillId="3" borderId="13" xfId="0" applyNumberFormat="1" applyFont="1" applyFill="1" applyBorder="1" applyAlignment="1" applyProtection="1">
      <alignment horizontal="right" vertical="center"/>
      <protection hidden="1"/>
    </xf>
    <xf numFmtId="187" fontId="6" fillId="5" borderId="21" xfId="0" applyNumberFormat="1" applyFont="1" applyFill="1" applyBorder="1" applyAlignment="1" applyProtection="1">
      <alignment horizontal="right" vertical="center"/>
      <protection hidden="1"/>
    </xf>
    <xf numFmtId="187" fontId="6" fillId="5" borderId="22" xfId="0" applyNumberFormat="1" applyFont="1" applyFill="1" applyBorder="1" applyAlignment="1" applyProtection="1">
      <alignment horizontal="right" vertical="center"/>
      <protection hidden="1"/>
    </xf>
    <xf numFmtId="187" fontId="6" fillId="3" borderId="16" xfId="0" applyNumberFormat="1" applyFont="1" applyFill="1" applyBorder="1" applyAlignment="1" applyProtection="1">
      <alignment horizontal="right" vertical="center"/>
      <protection hidden="1"/>
    </xf>
    <xf numFmtId="187" fontId="6" fillId="3" borderId="17" xfId="0" applyNumberFormat="1" applyFont="1" applyFill="1" applyBorder="1" applyAlignment="1" applyProtection="1">
      <alignment horizontal="right" vertical="center"/>
      <protection hidden="1"/>
    </xf>
    <xf numFmtId="187" fontId="7" fillId="0" borderId="23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5" fontId="6" fillId="7" borderId="16" xfId="0" applyNumberFormat="1" applyFont="1" applyFill="1" applyBorder="1" applyAlignment="1" applyProtection="1">
      <alignment horizontal="right" vertical="center"/>
      <protection hidden="1"/>
    </xf>
    <xf numFmtId="185" fontId="6" fillId="7" borderId="13" xfId="0" applyNumberFormat="1" applyFont="1" applyFill="1" applyBorder="1" applyAlignment="1" applyProtection="1">
      <alignment horizontal="right" vertical="center"/>
      <protection hidden="1"/>
    </xf>
    <xf numFmtId="185" fontId="6" fillId="5" borderId="21" xfId="0" applyNumberFormat="1" applyFont="1" applyFill="1" applyBorder="1" applyAlignment="1" applyProtection="1">
      <alignment horizontal="right" vertical="center"/>
      <protection hidden="1"/>
    </xf>
    <xf numFmtId="185" fontId="6" fillId="5" borderId="23" xfId="0" applyNumberFormat="1" applyFont="1" applyFill="1" applyBorder="1" applyAlignment="1" applyProtection="1">
      <alignment horizontal="right" vertical="center"/>
      <protection hidden="1"/>
    </xf>
    <xf numFmtId="185" fontId="6" fillId="8" borderId="20" xfId="0" applyNumberFormat="1" applyFont="1" applyFill="1" applyBorder="1" applyAlignment="1" applyProtection="1">
      <alignment horizontal="right" vertical="center"/>
      <protection hidden="1"/>
    </xf>
    <xf numFmtId="185" fontId="6" fillId="8" borderId="24" xfId="0" applyNumberFormat="1" applyFont="1" applyFill="1" applyBorder="1" applyAlignment="1" applyProtection="1">
      <alignment horizontal="right" vertical="center"/>
      <protection hidden="1"/>
    </xf>
    <xf numFmtId="185" fontId="6" fillId="8" borderId="16" xfId="0" applyNumberFormat="1" applyFont="1" applyFill="1" applyBorder="1" applyAlignment="1" applyProtection="1">
      <alignment horizontal="right" vertical="center"/>
      <protection hidden="1"/>
    </xf>
    <xf numFmtId="185" fontId="6" fillId="8" borderId="13" xfId="0" applyNumberFormat="1" applyFont="1" applyFill="1" applyBorder="1" applyAlignment="1" applyProtection="1">
      <alignment horizontal="right" vertical="center"/>
      <protection hidden="1"/>
    </xf>
    <xf numFmtId="187" fontId="6" fillId="5" borderId="26" xfId="2" applyNumberFormat="1" applyFont="1" applyFill="1" applyBorder="1" applyAlignment="1" applyProtection="1">
      <alignment horizontal="right" vertical="center"/>
      <protection hidden="1"/>
    </xf>
    <xf numFmtId="187" fontId="6" fillId="5" borderId="23" xfId="2" applyNumberFormat="1" applyFont="1" applyFill="1" applyBorder="1" applyAlignment="1" applyProtection="1">
      <alignment horizontal="right" vertical="center"/>
      <protection hidden="1"/>
    </xf>
    <xf numFmtId="0" fontId="8" fillId="6" borderId="27" xfId="0" applyFont="1" applyFill="1" applyBorder="1" applyAlignment="1" applyProtection="1">
      <alignment horizontal="center" vertical="center"/>
      <protection hidden="1"/>
    </xf>
    <xf numFmtId="187" fontId="6" fillId="8" borderId="10" xfId="2" applyNumberFormat="1" applyFont="1" applyFill="1" applyBorder="1" applyAlignment="1" applyProtection="1">
      <alignment horizontal="right" vertical="center"/>
      <protection hidden="1"/>
    </xf>
    <xf numFmtId="187" fontId="6" fillId="8" borderId="24" xfId="2" applyNumberFormat="1" applyFont="1" applyFill="1" applyBorder="1" applyAlignment="1" applyProtection="1">
      <alignment horizontal="right" vertical="center"/>
      <protection hidden="1"/>
    </xf>
    <xf numFmtId="187" fontId="6" fillId="8" borderId="25" xfId="2" applyNumberFormat="1" applyFont="1" applyFill="1" applyBorder="1" applyAlignment="1" applyProtection="1">
      <alignment horizontal="right" vertical="center"/>
      <protection hidden="1"/>
    </xf>
    <xf numFmtId="187" fontId="6" fillId="8" borderId="13" xfId="2" applyNumberFormat="1" applyFont="1" applyFill="1" applyBorder="1" applyAlignment="1" applyProtection="1">
      <alignment horizontal="right" vertical="center"/>
      <protection hidden="1"/>
    </xf>
    <xf numFmtId="187" fontId="6" fillId="3" borderId="25" xfId="2" applyNumberFormat="1" applyFont="1" applyFill="1" applyBorder="1" applyAlignment="1" applyProtection="1">
      <alignment horizontal="right" vertical="center"/>
      <protection hidden="1"/>
    </xf>
    <xf numFmtId="187" fontId="6" fillId="3" borderId="13" xfId="2" applyNumberFormat="1" applyFont="1" applyFill="1" applyBorder="1" applyAlignment="1" applyProtection="1">
      <alignment horizontal="right" vertical="center"/>
      <protection hidden="1"/>
    </xf>
    <xf numFmtId="187" fontId="6" fillId="7" borderId="25" xfId="2" applyNumberFormat="1" applyFont="1" applyFill="1" applyBorder="1" applyAlignment="1" applyProtection="1">
      <alignment horizontal="right" vertical="center"/>
      <protection hidden="1"/>
    </xf>
    <xf numFmtId="187" fontId="6" fillId="7" borderId="13" xfId="2" applyNumberFormat="1" applyFont="1" applyFill="1" applyBorder="1" applyAlignment="1" applyProtection="1">
      <alignment horizontal="right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29" xfId="0" applyFont="1" applyFill="1" applyBorder="1" applyAlignment="1" applyProtection="1">
      <alignment horizontal="center" vertical="center"/>
      <protection hidden="1"/>
    </xf>
    <xf numFmtId="0" fontId="3" fillId="5" borderId="22" xfId="0" applyFont="1" applyFill="1" applyBorder="1" applyAlignment="1" applyProtection="1">
      <alignment horizontal="center" vertical="center"/>
      <protection hidden="1"/>
    </xf>
    <xf numFmtId="0" fontId="8" fillId="6" borderId="30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8" borderId="25" xfId="0" applyFont="1" applyFill="1" applyBorder="1" applyAlignment="1" applyProtection="1">
      <alignment horizontal="center" vertical="center"/>
      <protection hidden="1"/>
    </xf>
    <xf numFmtId="0" fontId="4" fillId="8" borderId="28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8" xfId="0" applyBorder="1"/>
    <xf numFmtId="0" fontId="0" fillId="0" borderId="17" xfId="0" applyBorder="1"/>
    <xf numFmtId="0" fontId="3" fillId="7" borderId="25" xfId="0" applyFont="1" applyFill="1" applyBorder="1" applyAlignment="1" applyProtection="1">
      <alignment horizontal="center" vertical="center"/>
      <protection hidden="1"/>
    </xf>
    <xf numFmtId="0" fontId="3" fillId="7" borderId="28" xfId="0" applyFont="1" applyFill="1" applyBorder="1" applyAlignment="1" applyProtection="1">
      <alignment horizontal="center" vertical="center"/>
      <protection hidden="1"/>
    </xf>
    <xf numFmtId="0" fontId="3" fillId="7" borderId="17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1" fillId="0" borderId="0" xfId="0" applyFont="1" applyBorder="1"/>
    <xf numFmtId="186" fontId="21" fillId="3" borderId="4" xfId="0" applyNumberFormat="1" applyFont="1" applyFill="1" applyBorder="1" applyAlignment="1" applyProtection="1">
      <alignment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44"/>
      </font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strike/>
        <condense val="0"/>
        <extend val="0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  <dxf>
      <font>
        <condense val="0"/>
        <extend val="0"/>
        <color indexed="14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99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16" fmlaLink="$C$6" fmlaRange="Calculation!$K$3:$K$10" sel="7" val="0"/>
</file>

<file path=xl/ctrlProps/ctrlProp2.xml><?xml version="1.0" encoding="utf-8"?>
<formControlPr xmlns="http://schemas.microsoft.com/office/spreadsheetml/2009/9/main" objectType="Drop" dropLines="2" dropStyle="combo" dx="16" fmlaLink="$E$6" fmlaRange="Calculation!$B$15:$B$1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190500</xdr:rowOff>
        </xdr:from>
        <xdr:to>
          <xdr:col>3</xdr:col>
          <xdr:colOff>314325</xdr:colOff>
          <xdr:row>6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4</xdr:row>
          <xdr:rowOff>190500</xdr:rowOff>
        </xdr:from>
        <xdr:to>
          <xdr:col>5</xdr:col>
          <xdr:colOff>304800</xdr:colOff>
          <xdr:row>6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47625</xdr:colOff>
      <xdr:row>0</xdr:row>
      <xdr:rowOff>66675</xdr:rowOff>
    </xdr:from>
    <xdr:to>
      <xdr:col>3</xdr:col>
      <xdr:colOff>247650</xdr:colOff>
      <xdr:row>2</xdr:row>
      <xdr:rowOff>142875</xdr:rowOff>
    </xdr:to>
    <xdr:pic>
      <xdr:nvPicPr>
        <xdr:cNvPr id="1060" name="Picture 36" descr="D:\Documents and Settings\ko-fksw\デスクトップ\新HWシミュレーター\Logo\CITILED_T.L.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85975" cy="495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969696" mc:Ignorable="a14" a14:legacySpreadsheetColorIndex="55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390525</xdr:colOff>
      <xdr:row>0</xdr:row>
      <xdr:rowOff>171450</xdr:rowOff>
    </xdr:from>
    <xdr:to>
      <xdr:col>12</xdr:col>
      <xdr:colOff>333375</xdr:colOff>
      <xdr:row>2</xdr:row>
      <xdr:rowOff>66675</xdr:rowOff>
    </xdr:to>
    <xdr:sp macro="" textlink="">
      <xdr:nvSpPr>
        <xdr:cNvPr id="1062" name="WordArt 38"/>
        <xdr:cNvSpPr>
          <a:spLocks noChangeArrowheads="1" noChangeShapeType="1" noTextEdit="1"/>
        </xdr:cNvSpPr>
      </xdr:nvSpPr>
      <xdr:spPr bwMode="auto">
        <a:xfrm>
          <a:off x="2276475" y="171450"/>
          <a:ext cx="4438650" cy="3143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400" b="1" i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>
                <a:outerShdw dist="17961" dir="2700000" algn="ctr" rotWithShape="0">
                  <a:srgbClr xmlns:mc="http://schemas.openxmlformats.org/markup-compatibility/2006" xmlns:a14="http://schemas.microsoft.com/office/drawing/2010/main" val="969696" mc:Ignorable="a14" a14:legacySpreadsheetColorIndex="55"/>
                </a:outerShdw>
              </a:effectLst>
              <a:latin typeface="Arial"/>
              <a:cs typeface="Arial"/>
            </a:rPr>
            <a:t>Lighting LED Selection Tool</a:t>
          </a:r>
          <a:endParaRPr lang="ja-JP" altLang="en-US" sz="2400" b="1" i="1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effectLst>
              <a:outerShdw dist="17961" dir="2700000" algn="ctr" rotWithShape="0">
                <a:srgbClr xmlns:mc="http://schemas.openxmlformats.org/markup-compatibility/2006" xmlns:a14="http://schemas.microsoft.com/office/drawing/2010/main" val="969696" mc:Ignorable="a14" a14:legacySpreadsheetColorIndex="55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4</xdr:row>
      <xdr:rowOff>104775</xdr:rowOff>
    </xdr:from>
    <xdr:to>
      <xdr:col>13</xdr:col>
      <xdr:colOff>314325</xdr:colOff>
      <xdr:row>6</xdr:row>
      <xdr:rowOff>76200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247650" y="847725"/>
          <a:ext cx="6953250" cy="3905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</xdr:col>
      <xdr:colOff>28575</xdr:colOff>
      <xdr:row>4</xdr:row>
      <xdr:rowOff>0</xdr:rowOff>
    </xdr:from>
    <xdr:ext cx="1114720" cy="162224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384727" y="737152"/>
          <a:ext cx="1114720" cy="1622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000" tIns="0" rIns="3600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Arial"/>
              <a:cs typeface="Arial"/>
            </a:rPr>
            <a:t>Condition input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49"/>
  <sheetViews>
    <sheetView tabSelected="1" zoomScale="115" workbookViewId="0">
      <selection activeCell="O6" sqref="O6"/>
    </sheetView>
  </sheetViews>
  <sheetFormatPr defaultRowHeight="14.25" x14ac:dyDescent="0.2"/>
  <cols>
    <col min="1" max="1" width="4.625" style="2" customWidth="1"/>
    <col min="2" max="2" width="9.5" style="2" customWidth="1"/>
    <col min="3" max="3" width="10.625" style="2" customWidth="1"/>
    <col min="4" max="4" width="8.625" style="2" customWidth="1"/>
    <col min="5" max="6" width="6.625" style="2" customWidth="1"/>
    <col min="7" max="7" width="8.125" style="2" customWidth="1"/>
    <col min="8" max="8" width="5.125" style="2" customWidth="1"/>
    <col min="9" max="14" width="6.625" style="2" customWidth="1"/>
    <col min="15" max="15" width="4.625" style="2" customWidth="1"/>
    <col min="16" max="16" width="12.75" style="2" bestFit="1" customWidth="1"/>
    <col min="17" max="16384" width="9" style="2"/>
  </cols>
  <sheetData>
    <row r="1" spans="1:20" ht="17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7.10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7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7.100000000000001" customHeight="1" thickBot="1" x14ac:dyDescent="0.2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1"/>
    </row>
    <row r="6" spans="1:20" ht="17.100000000000001" customHeight="1" thickBot="1" x14ac:dyDescent="0.3">
      <c r="A6" s="3"/>
      <c r="B6" s="6" t="s">
        <v>26</v>
      </c>
      <c r="C6" s="7">
        <v>7</v>
      </c>
      <c r="D6" s="8">
        <v>1</v>
      </c>
      <c r="E6" s="9">
        <v>1</v>
      </c>
      <c r="G6" s="10">
        <v>1000</v>
      </c>
      <c r="H6" s="41" t="str">
        <f>VLOOKUP(E6,Calculation!A15:G16,7,FALSE)</f>
        <v>lm</v>
      </c>
      <c r="I6" s="3"/>
      <c r="J6" s="94" t="s">
        <v>27</v>
      </c>
      <c r="K6" s="95"/>
      <c r="L6" s="158">
        <v>25</v>
      </c>
      <c r="M6" s="93"/>
      <c r="N6" s="11"/>
      <c r="O6" s="5"/>
      <c r="P6" s="1"/>
    </row>
    <row r="7" spans="1:20" ht="9.9499999999999993" customHeight="1" x14ac:dyDescent="0.2">
      <c r="A7" s="3"/>
      <c r="B7" s="12"/>
      <c r="C7" s="8"/>
      <c r="D7" s="8"/>
      <c r="E7" s="1"/>
      <c r="F7" s="13"/>
      <c r="G7" s="14"/>
      <c r="H7" s="15"/>
      <c r="I7" s="3"/>
      <c r="J7" s="16"/>
      <c r="K7" s="17"/>
      <c r="L7" s="11"/>
      <c r="M7" s="17"/>
      <c r="N7" s="11"/>
      <c r="O7" s="3"/>
      <c r="P7" s="1"/>
    </row>
    <row r="8" spans="1:20" ht="9.9499999999999993" customHeight="1" thickBot="1" x14ac:dyDescent="0.25">
      <c r="A8" s="3"/>
      <c r="B8" s="3"/>
      <c r="C8" s="3"/>
      <c r="D8" s="3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18"/>
    </row>
    <row r="9" spans="1:20" s="20" customFormat="1" ht="17.100000000000001" customHeight="1" thickBot="1" x14ac:dyDescent="0.25">
      <c r="A9" s="3"/>
      <c r="B9" s="139" t="s">
        <v>28</v>
      </c>
      <c r="C9" s="140"/>
      <c r="D9" s="141"/>
      <c r="E9" s="127" t="str">
        <f>VLOOKUP($E6,Calculation!A15:G16,3,FALSE)</f>
        <v>If (mA)</v>
      </c>
      <c r="F9" s="98"/>
      <c r="G9" s="98" t="str">
        <f>VLOOKUP($E6,Calculation!A15:G16,4,FALSE)</f>
        <v>Vf (V)</v>
      </c>
      <c r="H9" s="98"/>
      <c r="I9" s="98" t="str">
        <f>VLOOKUP($E6,Calculation!A15:G16,5,FALSE)</f>
        <v>Pd (W)</v>
      </c>
      <c r="J9" s="98"/>
      <c r="K9" s="98" t="str">
        <f>VLOOKUP($E6,Calculation!A15:G16,6,FALSE)</f>
        <v>lm/W</v>
      </c>
      <c r="L9" s="106"/>
      <c r="M9" s="98" t="s">
        <v>29</v>
      </c>
      <c r="N9" s="99"/>
      <c r="O9" s="18"/>
      <c r="P9" s="19"/>
      <c r="R9" s="21"/>
    </row>
    <row r="10" spans="1:20" s="20" customFormat="1" ht="18.75" hidden="1" customHeight="1" thickBot="1" x14ac:dyDescent="0.25">
      <c r="A10" s="3"/>
      <c r="B10" s="22" t="s">
        <v>30</v>
      </c>
      <c r="C10" s="23"/>
      <c r="D10" s="23"/>
      <c r="E10" s="24" t="str">
        <f>CONCATENATE($E6,E9)</f>
        <v>1If (mA)</v>
      </c>
      <c r="F10" s="24"/>
      <c r="G10" s="25" t="str">
        <f>CONCATENATE($E6,G9)</f>
        <v>1Vf (V)</v>
      </c>
      <c r="H10" s="25"/>
      <c r="I10" s="25" t="str">
        <f>CONCATENATE($E6,I9)</f>
        <v>1Pd (W)</v>
      </c>
      <c r="J10" s="25"/>
      <c r="K10" s="25" t="str">
        <f>CONCATENATE($E6,K9)</f>
        <v>1lm/W</v>
      </c>
      <c r="L10" s="26"/>
      <c r="M10" s="27" t="str">
        <f>CONCATENATE($E6,M9)</f>
        <v>1Tj (C)</v>
      </c>
      <c r="N10" s="27"/>
      <c r="O10" s="3"/>
      <c r="P10" s="3"/>
      <c r="R10" s="21"/>
    </row>
    <row r="11" spans="1:20" s="20" customFormat="1" ht="17.100000000000001" customHeight="1" x14ac:dyDescent="0.2">
      <c r="A11" s="3"/>
      <c r="B11" s="142" t="str">
        <f>CONCATENATE(Calculation!B3,"-",Calculation!F3,Calculation!D3)</f>
        <v>CLU024-1201B8-40AL7C8</v>
      </c>
      <c r="C11" s="143"/>
      <c r="D11" s="144"/>
      <c r="E11" s="128" t="str">
        <f>HLOOKUP(E$10,Calculation!$C$22:$L$33,2,FALSE)</f>
        <v>Not Applicable</v>
      </c>
      <c r="F11" s="129"/>
      <c r="G11" s="121" t="str">
        <f>HLOOKUP(G$10,Calculation!$C$22:$L$33,2,FALSE)</f>
        <v>Not Applicable</v>
      </c>
      <c r="H11" s="122"/>
      <c r="I11" s="121" t="str">
        <f>HLOOKUP(I$10,Calculation!$C$22:$L$33,2,FALSE)</f>
        <v>Not Applicable</v>
      </c>
      <c r="J11" s="122"/>
      <c r="K11" s="100" t="str">
        <f>HLOOKUP(K$10,Calculation!$C$22:$L$33,2,FALSE)</f>
        <v>Not Applicable</v>
      </c>
      <c r="L11" s="107"/>
      <c r="M11" s="100" t="str">
        <f>HLOOKUP(M10,Calculation!C22:L33,2,FALSE)</f>
        <v>Not Applicable</v>
      </c>
      <c r="N11" s="101"/>
      <c r="O11" s="28"/>
      <c r="P11" s="29"/>
      <c r="Q11" s="30"/>
      <c r="R11" s="21"/>
      <c r="S11" s="31"/>
    </row>
    <row r="12" spans="1:20" s="20" customFormat="1" ht="17.100000000000001" customHeight="1" x14ac:dyDescent="0.2">
      <c r="A12" s="3"/>
      <c r="B12" s="142" t="str">
        <f>CONCATENATE(Calculation!B4,"-",Calculation!F4,Calculation!D4)</f>
        <v>CLU024-1202B8-40AL7C8</v>
      </c>
      <c r="C12" s="143"/>
      <c r="D12" s="144"/>
      <c r="E12" s="130">
        <f>HLOOKUP(E$10,Calculation!$C$22:$L$33,3,FALSE)</f>
        <v>189.6671300395235</v>
      </c>
      <c r="F12" s="131"/>
      <c r="G12" s="123">
        <f>HLOOKUP(G$10,Calculation!$C$22:$L$33,3,FALSE)</f>
        <v>35.875969773167576</v>
      </c>
      <c r="H12" s="124"/>
      <c r="I12" s="123">
        <f>HLOOKUP(I$10,Calculation!$C$22:$L$33,3,FALSE)</f>
        <v>6.8044922242613897</v>
      </c>
      <c r="J12" s="124"/>
      <c r="K12" s="102">
        <f>HLOOKUP(K$10,Calculation!$C$22:$L$33,3,FALSE)</f>
        <v>146.96173748784722</v>
      </c>
      <c r="L12" s="108"/>
      <c r="M12" s="102">
        <f>HLOOKUP(M$10,Calculation!$C$22:$L$33,3,FALSE)</f>
        <v>41.330781338227339</v>
      </c>
      <c r="N12" s="103"/>
      <c r="O12" s="28"/>
      <c r="P12" s="29"/>
      <c r="Q12" s="30"/>
      <c r="R12" s="21"/>
      <c r="S12" s="31"/>
    </row>
    <row r="13" spans="1:20" s="20" customFormat="1" ht="17.100000000000001" customHeight="1" x14ac:dyDescent="0.2">
      <c r="A13" s="3"/>
      <c r="B13" s="142" t="str">
        <f>CONCATENATE(Calculation!B5,"-",Calculation!F5,Calculation!D5)</f>
        <v>CLU024-1203B8-40AL7C8</v>
      </c>
      <c r="C13" s="143"/>
      <c r="D13" s="144"/>
      <c r="E13" s="130">
        <f>HLOOKUP(E$10,Calculation!$C$22:$L$33,4,FALSE)</f>
        <v>188.26231400787387</v>
      </c>
      <c r="F13" s="131"/>
      <c r="G13" s="123">
        <f>HLOOKUP(G$10,Calculation!$C$22:$L$33,4,FALSE)</f>
        <v>34.661114560813303</v>
      </c>
      <c r="H13" s="124"/>
      <c r="I13" s="123">
        <f>HLOOKUP(I$10,Calculation!$C$22:$L$33,4,FALSE)</f>
        <v>6.5253816333107233</v>
      </c>
      <c r="J13" s="124"/>
      <c r="K13" s="102">
        <f>HLOOKUP(K$10,Calculation!$C$22:$L$33,4,FALSE)</f>
        <v>153.2477418478035</v>
      </c>
      <c r="L13" s="108"/>
      <c r="M13" s="102">
        <f>HLOOKUP(M$10,Calculation!$C$22:$L$33,4,FALSE)</f>
        <v>36.093148776628226</v>
      </c>
      <c r="N13" s="103"/>
      <c r="O13" s="28"/>
      <c r="P13" s="29"/>
      <c r="Q13" s="30"/>
      <c r="R13" s="21"/>
      <c r="S13" s="32"/>
      <c r="T13" s="32"/>
    </row>
    <row r="14" spans="1:20" s="20" customFormat="1" ht="17.100000000000001" customHeight="1" x14ac:dyDescent="0.2">
      <c r="A14" s="3"/>
      <c r="B14" s="142" t="str">
        <f>CONCATENATE(Calculation!B6,"-",Calculation!F6,Calculation!D6)</f>
        <v>CLU024-1204B8-40AL7C8</v>
      </c>
      <c r="C14" s="143"/>
      <c r="D14" s="144"/>
      <c r="E14" s="130">
        <f>HLOOKUP(E$10,Calculation!$C$22:$L$33,5,FALSE)</f>
        <v>188.97298894472814</v>
      </c>
      <c r="F14" s="131"/>
      <c r="G14" s="123">
        <f>HLOOKUP(G$10,Calculation!$C$22:$L$33,5,FALSE)</f>
        <v>34.014387138950809</v>
      </c>
      <c r="H14" s="124"/>
      <c r="I14" s="123">
        <f>HLOOKUP(I$10,Calculation!$C$22:$L$33,5,FALSE)</f>
        <v>6.4278004047706547</v>
      </c>
      <c r="J14" s="124"/>
      <c r="K14" s="102">
        <f>HLOOKUP(K$10,Calculation!$C$22:$L$33,5,FALSE)</f>
        <v>155.57421466569016</v>
      </c>
      <c r="L14" s="108"/>
      <c r="M14" s="102">
        <f>HLOOKUP(M$10,Calculation!$C$22:$L$33,5,FALSE)</f>
        <v>33.998920566678919</v>
      </c>
      <c r="N14" s="103"/>
      <c r="O14" s="28"/>
      <c r="P14" s="29"/>
      <c r="Q14" s="30"/>
      <c r="R14" s="21"/>
      <c r="S14" s="32"/>
      <c r="T14" s="32"/>
    </row>
    <row r="15" spans="1:20" s="20" customFormat="1" ht="17.100000000000001" customHeight="1" x14ac:dyDescent="0.2">
      <c r="A15" s="3"/>
      <c r="B15" s="145" t="str">
        <f>CONCATENATE(Calculation!B7,"-",Calculation!F7,Calculation!D7)</f>
        <v>CLU034-1205B8-40AL7C8</v>
      </c>
      <c r="C15" s="146"/>
      <c r="D15" s="147"/>
      <c r="E15" s="132">
        <f>HLOOKUP(E$10,Calculation!$C$22:$L$33,6,FALSE)</f>
        <v>178.50193097221623</v>
      </c>
      <c r="F15" s="133"/>
      <c r="G15" s="109">
        <f>HLOOKUP(G$10,Calculation!$C$22:$L$33,6,FALSE)</f>
        <v>33.508007374524752</v>
      </c>
      <c r="H15" s="110"/>
      <c r="I15" s="109">
        <f>HLOOKUP(I$10,Calculation!$C$22:$L$33,6,FALSE)</f>
        <v>5.9812440193839294</v>
      </c>
      <c r="J15" s="110"/>
      <c r="K15" s="113">
        <f>HLOOKUP(K$10,Calculation!$C$22:$L$33,6,FALSE)</f>
        <v>167.18929987795423</v>
      </c>
      <c r="L15" s="116"/>
      <c r="M15" s="113">
        <f>HLOOKUP(M$10,Calculation!$C$22:$L$33,6,FALSE)</f>
        <v>31.579368421322322</v>
      </c>
      <c r="N15" s="114"/>
      <c r="O15" s="28"/>
      <c r="P15" s="29"/>
      <c r="Q15" s="30"/>
      <c r="R15" s="21"/>
      <c r="S15" s="32"/>
      <c r="T15" s="32"/>
    </row>
    <row r="16" spans="1:20" s="20" customFormat="1" ht="17.100000000000001" customHeight="1" x14ac:dyDescent="0.2">
      <c r="A16" s="3"/>
      <c r="B16" s="145" t="str">
        <f>CONCATENATE(Calculation!B8,"-",Calculation!F8,Calculation!D8)</f>
        <v>CLU034-1206B8-40AL7C8</v>
      </c>
      <c r="C16" s="146"/>
      <c r="D16" s="147"/>
      <c r="E16" s="132">
        <f>HLOOKUP(E$10,Calculation!$C$22:$L$33,7,FALSE)</f>
        <v>179.62039722004059</v>
      </c>
      <c r="F16" s="133"/>
      <c r="G16" s="109">
        <f>HLOOKUP(G$10,Calculation!$C$22:$L$33,7,FALSE)</f>
        <v>33.247141614017323</v>
      </c>
      <c r="H16" s="110"/>
      <c r="I16" s="109">
        <f>HLOOKUP(I$10,Calculation!$C$22:$L$33,7,FALSE)</f>
        <v>5.9718647831407337</v>
      </c>
      <c r="J16" s="110"/>
      <c r="K16" s="113">
        <f>HLOOKUP(K$10,Calculation!$C$22:$L$33,7,FALSE)</f>
        <v>167.45188250462667</v>
      </c>
      <c r="L16" s="116"/>
      <c r="M16" s="113">
        <f>HLOOKUP(M$10,Calculation!$C$22:$L$33,7,FALSE)</f>
        <v>30.852427487477918</v>
      </c>
      <c r="N16" s="114"/>
      <c r="O16" s="28"/>
      <c r="P16" s="29"/>
      <c r="Q16" s="30"/>
      <c r="R16" s="21"/>
      <c r="S16" s="32"/>
      <c r="T16" s="32"/>
    </row>
    <row r="17" spans="1:20" s="20" customFormat="1" ht="17.100000000000001" customHeight="1" x14ac:dyDescent="0.2">
      <c r="A17" s="3"/>
      <c r="B17" s="145" t="str">
        <f>CONCATENATE(Calculation!B9,"-",Calculation!F9,Calculation!D9)</f>
        <v>CLU034-1208B8-40AL7C8</v>
      </c>
      <c r="C17" s="148"/>
      <c r="D17" s="149"/>
      <c r="E17" s="132">
        <f>HLOOKUP(E$10,Calculation!$C$22:$L$33,8,FALSE)</f>
        <v>182.11746417952631</v>
      </c>
      <c r="F17" s="133"/>
      <c r="G17" s="109">
        <f>HLOOKUP(G$10,Calculation!$C$22:$L$33,8,FALSE)</f>
        <v>32.915074536896221</v>
      </c>
      <c r="H17" s="110"/>
      <c r="I17" s="109">
        <f>HLOOKUP(I$10,Calculation!$C$22:$L$33,8,FALSE)</f>
        <v>5.9944099079396356</v>
      </c>
      <c r="J17" s="110"/>
      <c r="K17" s="113">
        <f>HLOOKUP(K$10,Calculation!$C$22:$L$33,8,FALSE)</f>
        <v>166.82209180848534</v>
      </c>
      <c r="L17" s="116"/>
      <c r="M17" s="113">
        <f>HLOOKUP(M$10,Calculation!$C$22:$L$33,8,FALSE)</f>
        <v>29.675639728192916</v>
      </c>
      <c r="N17" s="114"/>
      <c r="O17" s="28"/>
      <c r="P17" s="29"/>
      <c r="Q17" s="30"/>
      <c r="R17" s="21"/>
      <c r="S17" s="32"/>
      <c r="T17" s="32"/>
    </row>
    <row r="18" spans="1:20" s="20" customFormat="1" ht="17.100000000000001" customHeight="1" x14ac:dyDescent="0.2">
      <c r="A18" s="3"/>
      <c r="B18" s="150" t="str">
        <f>CONCATENATE(Calculation!B10,"-",Calculation!F10,Calculation!D10)</f>
        <v>CLU044-1212B8-40AL7C8</v>
      </c>
      <c r="C18" s="151"/>
      <c r="D18" s="152"/>
      <c r="E18" s="134">
        <f>HLOOKUP(E$10,Calculation!$C$22:$L$33,9,FALSE)</f>
        <v>174.39475024362247</v>
      </c>
      <c r="F18" s="135"/>
      <c r="G18" s="117">
        <f>HLOOKUP(G$10,Calculation!$C$22:$L$33,9,FALSE)</f>
        <v>32.523750122132419</v>
      </c>
      <c r="H18" s="118"/>
      <c r="I18" s="117">
        <f>HLOOKUP(I$10,Calculation!$C$22:$L$33,9,FALSE)</f>
        <v>5.6719712795352688</v>
      </c>
      <c r="J18" s="118"/>
      <c r="K18" s="96">
        <f>HLOOKUP(K$10,Calculation!$C$22:$L$33,9,FALSE)</f>
        <v>176.30554717511453</v>
      </c>
      <c r="L18" s="104"/>
      <c r="M18" s="96">
        <f>HLOOKUP(M$10,Calculation!$C$22:$L$33,9,FALSE)</f>
        <v>27.949425065358341</v>
      </c>
      <c r="N18" s="97"/>
      <c r="O18" s="28"/>
      <c r="P18" s="29"/>
      <c r="Q18" s="30"/>
      <c r="R18" s="21"/>
      <c r="S18" s="32"/>
      <c r="T18" s="32"/>
    </row>
    <row r="19" spans="1:20" s="20" customFormat="1" ht="17.100000000000001" customHeight="1" x14ac:dyDescent="0.2">
      <c r="A19" s="3"/>
      <c r="B19" s="150" t="str">
        <f>CONCATENATE(Calculation!B11,"-",Calculation!F11,Calculation!D11)</f>
        <v>CLU044-1812B8-40AL7C8</v>
      </c>
      <c r="C19" s="153"/>
      <c r="D19" s="154"/>
      <c r="E19" s="134">
        <f>HLOOKUP(E$10,Calculation!$C$22:$L$33,10,FALSE)</f>
        <v>119.31408363771934</v>
      </c>
      <c r="F19" s="135"/>
      <c r="G19" s="117">
        <f>HLOOKUP(G$10,Calculation!$C$22:$L$33,10,FALSE)</f>
        <v>48.40598617317422</v>
      </c>
      <c r="H19" s="118"/>
      <c r="I19" s="117">
        <f>HLOOKUP(I$10,Calculation!$C$22:$L$33,10,FALSE)</f>
        <v>5.7755158828323951</v>
      </c>
      <c r="J19" s="118"/>
      <c r="K19" s="96">
        <f>HLOOKUP(K$10,Calculation!$C$22:$L$33,10,FALSE)</f>
        <v>173.14470608114505</v>
      </c>
      <c r="L19" s="105"/>
      <c r="M19" s="96">
        <f>HLOOKUP(M$10,Calculation!$C$22:$L$33,10,FALSE)</f>
        <v>27.252451194304633</v>
      </c>
      <c r="N19" s="97"/>
      <c r="O19" s="28"/>
      <c r="P19" s="29"/>
      <c r="Q19" s="30"/>
      <c r="R19" s="21"/>
      <c r="S19" s="32"/>
      <c r="T19" s="32"/>
    </row>
    <row r="20" spans="1:20" s="20" customFormat="1" ht="17.100000000000001" customHeight="1" x14ac:dyDescent="0.2">
      <c r="A20" s="3"/>
      <c r="B20" s="150" t="str">
        <f>CONCATENATE(Calculation!B12,"-",Calculation!F12,Calculation!D12)</f>
        <v>CLU044-1818B8-40AL7C8</v>
      </c>
      <c r="C20" s="153"/>
      <c r="D20" s="154"/>
      <c r="E20" s="134">
        <f>HLOOKUP(E$10,Calculation!$C$22:$L$33,11,FALSE)</f>
        <v>122.17848852003732</v>
      </c>
      <c r="F20" s="135"/>
      <c r="G20" s="117">
        <f>HLOOKUP(G$10,Calculation!$C$22:$L$33,11,FALSE)</f>
        <v>48.173395223022858</v>
      </c>
      <c r="H20" s="118"/>
      <c r="I20" s="117">
        <f>HLOOKUP(I$10,Calculation!$C$22:$L$33,11,FALSE)</f>
        <v>5.885752615227319</v>
      </c>
      <c r="J20" s="118"/>
      <c r="K20" s="96">
        <f>HLOOKUP(K$10,Calculation!$C$22:$L$33,11,FALSE)</f>
        <v>169.90180617052286</v>
      </c>
      <c r="L20" s="105"/>
      <c r="M20" s="96">
        <f>HLOOKUP(M$10,Calculation!$C$22:$L$33,11,FALSE)</f>
        <v>26.530295679959103</v>
      </c>
      <c r="N20" s="97"/>
      <c r="O20" s="28"/>
      <c r="P20" s="29"/>
      <c r="Q20" s="30"/>
      <c r="R20" s="21"/>
      <c r="S20" s="31"/>
    </row>
    <row r="21" spans="1:20" s="20" customFormat="1" ht="17.100000000000001" customHeight="1" thickBot="1" x14ac:dyDescent="0.25">
      <c r="A21" s="3"/>
      <c r="B21" s="136" t="str">
        <f>CONCATENATE(Calculation!B13,"-",Calculation!F13,Calculation!D13)</f>
        <v>CLU054-1825B8-40AL7C8</v>
      </c>
      <c r="C21" s="137"/>
      <c r="D21" s="138"/>
      <c r="E21" s="125" t="str">
        <f>HLOOKUP(E$10,Calculation!$C$22:$L$33,12,FALSE)</f>
        <v>Not Applicable</v>
      </c>
      <c r="F21" s="126"/>
      <c r="G21" s="119" t="str">
        <f>HLOOKUP(G$10,Calculation!$C$22:$L$33,12,FALSE)</f>
        <v>Not Applicable</v>
      </c>
      <c r="H21" s="120"/>
      <c r="I21" s="119" t="str">
        <f>HLOOKUP(I$10,Calculation!$C$22:$L$33,12,FALSE)</f>
        <v>Not Applicable</v>
      </c>
      <c r="J21" s="120"/>
      <c r="K21" s="111" t="str">
        <f>HLOOKUP(K$10,Calculation!$C$22:$L$33,12,FALSE)</f>
        <v>Not Applicable</v>
      </c>
      <c r="L21" s="115"/>
      <c r="M21" s="111" t="str">
        <f>HLOOKUP(M$10,Calculation!$C$22:$L$33,12,FALSE)</f>
        <v>Not Applicable</v>
      </c>
      <c r="N21" s="112"/>
      <c r="O21" s="28"/>
      <c r="P21" s="29"/>
      <c r="Q21" s="30"/>
      <c r="R21" s="21"/>
      <c r="S21" s="31"/>
    </row>
    <row r="22" spans="1:20" ht="24.95" customHeight="1" x14ac:dyDescent="0.25">
      <c r="A22" s="3"/>
      <c r="B22" s="3"/>
      <c r="C22" s="33" t="s">
        <v>31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4" t="s">
        <v>139</v>
      </c>
      <c r="O22" s="3"/>
      <c r="P22" s="1"/>
    </row>
    <row r="23" spans="1:20" ht="12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</row>
    <row r="24" spans="1:20" ht="12.9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</row>
    <row r="25" spans="1:20" ht="17.100000000000001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20" ht="17.100000000000001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20" ht="17.100000000000001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0" s="36" customFormat="1" ht="15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20" s="36" customFormat="1" ht="15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0" s="36" customFormat="1" ht="15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20" s="36" customFormat="1" ht="15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3" spans="2:22" x14ac:dyDescent="0.2">
      <c r="U33" s="37"/>
      <c r="V33" s="37"/>
    </row>
    <row r="36" spans="2:22" x14ac:dyDescent="0.2">
      <c r="V36" s="38"/>
    </row>
    <row r="37" spans="2:22" x14ac:dyDescent="0.2">
      <c r="V37" s="38"/>
    </row>
    <row r="38" spans="2:22" x14ac:dyDescent="0.2">
      <c r="V38" s="38"/>
    </row>
    <row r="39" spans="2:22" x14ac:dyDescent="0.2">
      <c r="U39" s="39"/>
      <c r="V39" s="38"/>
    </row>
    <row r="40" spans="2:22" x14ac:dyDescent="0.2">
      <c r="V40" s="38"/>
    </row>
    <row r="48" spans="2:22" x14ac:dyDescent="0.2">
      <c r="B48" s="40"/>
      <c r="C48" s="40"/>
      <c r="D48" s="40"/>
    </row>
    <row r="49" spans="2:4" x14ac:dyDescent="0.2">
      <c r="B49" s="40"/>
      <c r="C49" s="40"/>
      <c r="D49" s="40"/>
    </row>
  </sheetData>
  <sheetProtection password="AF21" sheet="1" objects="1" scenarios="1"/>
  <mergeCells count="74">
    <mergeCell ref="B21:D21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E21:F21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G21:H21"/>
    <mergeCell ref="G9:H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I18:J18"/>
    <mergeCell ref="I19:J19"/>
    <mergeCell ref="I20:J20"/>
    <mergeCell ref="I21:J21"/>
    <mergeCell ref="I9:J9"/>
    <mergeCell ref="I11:J11"/>
    <mergeCell ref="I12:J12"/>
    <mergeCell ref="I13:J13"/>
    <mergeCell ref="I14:J14"/>
    <mergeCell ref="I15:J15"/>
    <mergeCell ref="K20:L20"/>
    <mergeCell ref="K21:L21"/>
    <mergeCell ref="K14:L14"/>
    <mergeCell ref="K15:L15"/>
    <mergeCell ref="K16:L16"/>
    <mergeCell ref="K17:L17"/>
    <mergeCell ref="M20:N20"/>
    <mergeCell ref="M21:N21"/>
    <mergeCell ref="M14:N14"/>
    <mergeCell ref="M15:N15"/>
    <mergeCell ref="M16:N16"/>
    <mergeCell ref="M17:N17"/>
    <mergeCell ref="L6:M6"/>
    <mergeCell ref="J6:K6"/>
    <mergeCell ref="M18:N18"/>
    <mergeCell ref="M19:N19"/>
    <mergeCell ref="M9:N9"/>
    <mergeCell ref="M11:N11"/>
    <mergeCell ref="M12:N12"/>
    <mergeCell ref="M13:N13"/>
    <mergeCell ref="K18:L18"/>
    <mergeCell ref="K19:L19"/>
    <mergeCell ref="K9:L9"/>
    <mergeCell ref="K11:L11"/>
    <mergeCell ref="K12:L12"/>
    <mergeCell ref="K13:L13"/>
    <mergeCell ref="I16:J16"/>
    <mergeCell ref="I17:J17"/>
  </mergeCells>
  <phoneticPr fontId="2"/>
  <conditionalFormatting sqref="E12:N20">
    <cfRule type="cellIs" dxfId="5" priority="1" stopIfTrue="1" operator="equal">
      <formula>"Not Applicable"</formula>
    </cfRule>
  </conditionalFormatting>
  <conditionalFormatting sqref="E11:N11">
    <cfRule type="cellIs" dxfId="4" priority="2" stopIfTrue="1" operator="equal">
      <formula>"Not Applicable"</formula>
    </cfRule>
    <cfRule type="expression" dxfId="0" priority="3" stopIfTrue="1">
      <formula>$C$6&gt;=9</formula>
    </cfRule>
  </conditionalFormatting>
  <conditionalFormatting sqref="L6:M6">
    <cfRule type="cellIs" dxfId="3" priority="4" stopIfTrue="1" operator="greaterThanOrEqual">
      <formula>100.001</formula>
    </cfRule>
    <cfRule type="cellIs" dxfId="2" priority="5" stopIfTrue="1" operator="lessThanOrEqual">
      <formula>-40.001</formula>
    </cfRule>
  </conditionalFormatting>
  <conditionalFormatting sqref="E21:N21">
    <cfRule type="cellIs" dxfId="1" priority="6" stopIfTrue="1" operator="equal">
      <formula>"Not Applicable"</formula>
    </cfRule>
  </conditionalFormatting>
  <pageMargins left="0.39370078740157483" right="0.39370078740157483" top="0.39370078740157483" bottom="0.39370078740157483" header="0.51181102362204722" footer="0.51181102362204722"/>
  <pageSetup paperSize="9" scale="14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locked="0" defaultSize="0" autoLine="0" autoPict="0">
                <anchor moveWithCells="1">
                  <from>
                    <xdr:col>2</xdr:col>
                    <xdr:colOff>0</xdr:colOff>
                    <xdr:row>4</xdr:row>
                    <xdr:rowOff>190500</xdr:rowOff>
                  </from>
                  <to>
                    <xdr:col>3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locked="0" defaultSize="0" autoLine="0" autoPict="0">
                <anchor moveWithCells="1">
                  <from>
                    <xdr:col>3</xdr:col>
                    <xdr:colOff>342900</xdr:colOff>
                    <xdr:row>4</xdr:row>
                    <xdr:rowOff>190500</xdr:rowOff>
                  </from>
                  <to>
                    <xdr:col>5</xdr:col>
                    <xdr:colOff>304800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99"/>
  <sheetViews>
    <sheetView view="pageBreakPreview" topLeftCell="AA200" zoomScale="75" zoomScaleNormal="75" workbookViewId="0">
      <selection activeCell="AD206" sqref="AD206"/>
    </sheetView>
  </sheetViews>
  <sheetFormatPr defaultColWidth="10.625" defaultRowHeight="16.5" customHeight="1" x14ac:dyDescent="0.2"/>
  <cols>
    <col min="1" max="26" width="0" style="157" hidden="1" customWidth="1"/>
    <col min="27" max="16384" width="10.625" style="157"/>
  </cols>
  <sheetData>
    <row r="1" spans="1:24" s="46" customFormat="1" ht="16.5" hidden="1" customHeight="1" x14ac:dyDescent="0.25">
      <c r="A1" s="48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4" s="46" customFormat="1" ht="16.5" hidden="1" customHeight="1" x14ac:dyDescent="0.2">
      <c r="A2" s="42"/>
      <c r="B2" s="42" t="s">
        <v>32</v>
      </c>
      <c r="C2" s="42"/>
      <c r="D2" s="42"/>
      <c r="E2" s="42"/>
      <c r="F2" s="42"/>
      <c r="G2" s="42" t="s">
        <v>33</v>
      </c>
      <c r="H2" s="42" t="s">
        <v>34</v>
      </c>
      <c r="I2" s="42"/>
      <c r="K2" s="43" t="s">
        <v>35</v>
      </c>
      <c r="L2" s="43" t="s">
        <v>36</v>
      </c>
      <c r="M2" s="43" t="s">
        <v>37</v>
      </c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4" s="46" customFormat="1" ht="16.5" hidden="1" customHeight="1" x14ac:dyDescent="0.2">
      <c r="A3" s="42"/>
      <c r="B3" s="42" t="s">
        <v>105</v>
      </c>
      <c r="C3" s="42" t="str">
        <f>VLOOKUP(Simulator!C6,I3:M13,2,FALSE)</f>
        <v>B8</v>
      </c>
      <c r="D3" s="42" t="str">
        <f>VLOOKUP(Simulator!C6,I3:M13,5,FALSE)</f>
        <v>C8</v>
      </c>
      <c r="E3" s="42" t="str">
        <f>VLOOKUP(Simulator!$C$6,$I$3:$M$13,3,FALSE)</f>
        <v>4000K,70Min</v>
      </c>
      <c r="F3" s="42" t="str">
        <f>VLOOKUP(Simulator!C6,I3:M12,4,FALSE)</f>
        <v>40AL7</v>
      </c>
      <c r="G3" s="42" t="s">
        <v>38</v>
      </c>
      <c r="H3" s="42" t="s">
        <v>39</v>
      </c>
      <c r="I3" s="42">
        <v>1</v>
      </c>
      <c r="J3" s="46" t="s">
        <v>117</v>
      </c>
      <c r="K3" s="44" t="s">
        <v>0</v>
      </c>
      <c r="L3" s="42" t="s">
        <v>121</v>
      </c>
      <c r="M3" s="42" t="s">
        <v>116</v>
      </c>
      <c r="N3" s="42"/>
      <c r="O3" s="42" t="str">
        <f>CONCATENATE(Calculation!B13,Calculation!C13,"-",Calculation!F13,Calculation!D13)</f>
        <v>CLU054-1825B8B8-40AL7C8</v>
      </c>
      <c r="P3" s="42"/>
      <c r="Q3" s="42"/>
      <c r="R3" s="42"/>
      <c r="S3" s="42"/>
      <c r="T3" s="42"/>
      <c r="U3" s="42"/>
      <c r="V3" s="42"/>
      <c r="W3" s="42"/>
      <c r="X3" s="45"/>
    </row>
    <row r="4" spans="1:24" s="46" customFormat="1" ht="16.5" hidden="1" customHeight="1" x14ac:dyDescent="0.2">
      <c r="A4" s="42"/>
      <c r="B4" s="42" t="s">
        <v>106</v>
      </c>
      <c r="C4" s="42" t="str">
        <f>C3</f>
        <v>B8</v>
      </c>
      <c r="D4" s="46" t="str">
        <f>$D$3</f>
        <v>C8</v>
      </c>
      <c r="E4" s="42" t="str">
        <f>VLOOKUP(Simulator!$C$6,$I$3:$M$13,3,FALSE)</f>
        <v>4000K,70Min</v>
      </c>
      <c r="F4" s="42" t="str">
        <f>F$3</f>
        <v>40AL7</v>
      </c>
      <c r="G4" s="42" t="s">
        <v>38</v>
      </c>
      <c r="H4" s="42" t="s">
        <v>40</v>
      </c>
      <c r="I4" s="42">
        <v>2</v>
      </c>
      <c r="J4" s="46" t="s">
        <v>117</v>
      </c>
      <c r="K4" s="44" t="s">
        <v>1</v>
      </c>
      <c r="L4" s="42" t="s">
        <v>122</v>
      </c>
      <c r="M4" s="42" t="s">
        <v>116</v>
      </c>
      <c r="N4" s="42"/>
      <c r="O4" s="42" t="s">
        <v>102</v>
      </c>
      <c r="P4" s="42"/>
      <c r="Q4" s="42"/>
      <c r="R4" s="42"/>
      <c r="S4" s="42"/>
      <c r="T4" s="42"/>
      <c r="U4" s="42"/>
      <c r="V4" s="42"/>
      <c r="W4" s="42"/>
      <c r="X4" s="45"/>
    </row>
    <row r="5" spans="1:24" s="46" customFormat="1" ht="16.5" hidden="1" customHeight="1" x14ac:dyDescent="0.2">
      <c r="A5" s="42"/>
      <c r="B5" s="42" t="s">
        <v>107</v>
      </c>
      <c r="C5" s="42" t="str">
        <f t="shared" ref="C5:C13" si="0">C4</f>
        <v>B8</v>
      </c>
      <c r="D5" s="46" t="str">
        <f>$D$3</f>
        <v>C8</v>
      </c>
      <c r="E5" s="42" t="str">
        <f>VLOOKUP(Simulator!$C$6,$I$3:$M$13,3,FALSE)</f>
        <v>4000K,70Min</v>
      </c>
      <c r="F5" s="42" t="str">
        <f t="shared" ref="F5:F13" si="1">F$3</f>
        <v>40AL7</v>
      </c>
      <c r="G5" s="42" t="s">
        <v>14</v>
      </c>
      <c r="H5" s="42" t="s">
        <v>15</v>
      </c>
      <c r="I5" s="42">
        <v>3</v>
      </c>
      <c r="J5" s="46" t="s">
        <v>117</v>
      </c>
      <c r="K5" s="44" t="s">
        <v>2</v>
      </c>
      <c r="L5" s="42" t="s">
        <v>123</v>
      </c>
      <c r="M5" s="42" t="s">
        <v>116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5"/>
    </row>
    <row r="6" spans="1:24" s="46" customFormat="1" ht="16.5" hidden="1" customHeight="1" x14ac:dyDescent="0.2">
      <c r="A6" s="42"/>
      <c r="B6" s="42" t="s">
        <v>108</v>
      </c>
      <c r="C6" s="42" t="str">
        <f t="shared" si="0"/>
        <v>B8</v>
      </c>
      <c r="D6" s="46" t="str">
        <f t="shared" ref="D6:D13" si="2">$D$3</f>
        <v>C8</v>
      </c>
      <c r="E6" s="42" t="str">
        <f>VLOOKUP(Simulator!$C$6,$I$3:$M$13,3,FALSE)</f>
        <v>4000K,70Min</v>
      </c>
      <c r="F6" s="42" t="str">
        <f t="shared" si="1"/>
        <v>40AL7</v>
      </c>
      <c r="G6" s="42" t="s">
        <v>16</v>
      </c>
      <c r="H6" s="42" t="s">
        <v>15</v>
      </c>
      <c r="I6" s="42">
        <v>4</v>
      </c>
      <c r="J6" s="46" t="s">
        <v>117</v>
      </c>
      <c r="K6" s="44" t="s">
        <v>3</v>
      </c>
      <c r="L6" s="42" t="s">
        <v>124</v>
      </c>
      <c r="M6" s="42" t="s">
        <v>116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5"/>
    </row>
    <row r="7" spans="1:24" s="46" customFormat="1" ht="16.5" hidden="1" customHeight="1" x14ac:dyDescent="0.2">
      <c r="A7" s="42"/>
      <c r="B7" s="42" t="s">
        <v>109</v>
      </c>
      <c r="C7" s="42" t="str">
        <f t="shared" si="0"/>
        <v>B8</v>
      </c>
      <c r="D7" s="46" t="str">
        <f t="shared" si="2"/>
        <v>C8</v>
      </c>
      <c r="E7" s="42" t="str">
        <f>VLOOKUP(Simulator!$C$6,$I$3:$M$13,3,FALSE)</f>
        <v>4000K,70Min</v>
      </c>
      <c r="F7" s="42" t="str">
        <f t="shared" si="1"/>
        <v>40AL7</v>
      </c>
      <c r="G7" s="42" t="s">
        <v>41</v>
      </c>
      <c r="H7" s="42" t="s">
        <v>40</v>
      </c>
      <c r="I7" s="42">
        <v>5</v>
      </c>
      <c r="J7" s="46" t="s">
        <v>117</v>
      </c>
      <c r="K7" s="44" t="s">
        <v>4</v>
      </c>
      <c r="L7" s="42" t="s">
        <v>125</v>
      </c>
      <c r="M7" s="42" t="s">
        <v>116</v>
      </c>
      <c r="X7" s="45"/>
    </row>
    <row r="8" spans="1:24" s="46" customFormat="1" ht="16.5" hidden="1" customHeight="1" x14ac:dyDescent="0.2">
      <c r="A8" s="42"/>
      <c r="B8" s="42" t="s">
        <v>110</v>
      </c>
      <c r="C8" s="42" t="str">
        <f t="shared" si="0"/>
        <v>B8</v>
      </c>
      <c r="D8" s="46" t="str">
        <f t="shared" si="2"/>
        <v>C8</v>
      </c>
      <c r="E8" s="42" t="str">
        <f>VLOOKUP(Simulator!$C$6,$I$3:$M$13,3,FALSE)</f>
        <v>4000K,70Min</v>
      </c>
      <c r="F8" s="42" t="str">
        <f t="shared" si="1"/>
        <v>40AL7</v>
      </c>
      <c r="G8" s="42" t="s">
        <v>17</v>
      </c>
      <c r="H8" s="42" t="s">
        <v>15</v>
      </c>
      <c r="I8" s="42">
        <v>6</v>
      </c>
      <c r="J8" s="46" t="s">
        <v>117</v>
      </c>
      <c r="K8" s="44" t="s">
        <v>118</v>
      </c>
      <c r="L8" s="42" t="s">
        <v>126</v>
      </c>
      <c r="M8" s="42" t="s">
        <v>127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5"/>
    </row>
    <row r="9" spans="1:24" s="46" customFormat="1" ht="16.5" hidden="1" customHeight="1" x14ac:dyDescent="0.2">
      <c r="A9" s="42"/>
      <c r="B9" s="42" t="s">
        <v>111</v>
      </c>
      <c r="C9" s="42" t="str">
        <f t="shared" si="0"/>
        <v>B8</v>
      </c>
      <c r="D9" s="46" t="str">
        <f t="shared" si="2"/>
        <v>C8</v>
      </c>
      <c r="E9" s="42" t="str">
        <f>VLOOKUP(Simulator!$C$6,$I$3:$M$13,3,FALSE)</f>
        <v>4000K,70Min</v>
      </c>
      <c r="F9" s="42" t="str">
        <f t="shared" si="1"/>
        <v>40AL7</v>
      </c>
      <c r="G9" s="42" t="s">
        <v>38</v>
      </c>
      <c r="H9" s="42" t="s">
        <v>95</v>
      </c>
      <c r="I9" s="42">
        <v>7</v>
      </c>
      <c r="J9" s="46" t="s">
        <v>117</v>
      </c>
      <c r="K9" s="47" t="s">
        <v>119</v>
      </c>
      <c r="L9" s="42" t="s">
        <v>128</v>
      </c>
      <c r="M9" s="42" t="s">
        <v>127</v>
      </c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4" s="46" customFormat="1" ht="16.5" hidden="1" customHeight="1" x14ac:dyDescent="0.2">
      <c r="A10" s="42"/>
      <c r="B10" s="42" t="s">
        <v>112</v>
      </c>
      <c r="C10" s="42" t="str">
        <f t="shared" si="0"/>
        <v>B8</v>
      </c>
      <c r="D10" s="46" t="str">
        <f t="shared" si="2"/>
        <v>C8</v>
      </c>
      <c r="E10" s="42" t="str">
        <f>VLOOKUP(Simulator!$C$6,$I$3:$M$13,3,FALSE)</f>
        <v>4000K,70Min</v>
      </c>
      <c r="F10" s="42" t="str">
        <f t="shared" si="1"/>
        <v>40AL7</v>
      </c>
      <c r="G10" s="42" t="s">
        <v>24</v>
      </c>
      <c r="H10" s="42" t="s">
        <v>25</v>
      </c>
      <c r="I10" s="42">
        <v>8</v>
      </c>
      <c r="J10" s="46" t="s">
        <v>117</v>
      </c>
      <c r="K10" s="47" t="s">
        <v>120</v>
      </c>
      <c r="L10" s="42" t="s">
        <v>129</v>
      </c>
      <c r="M10" s="42" t="s">
        <v>127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4" s="46" customFormat="1" ht="16.5" hidden="1" customHeight="1" x14ac:dyDescent="0.2">
      <c r="A11" s="42"/>
      <c r="B11" s="42" t="s">
        <v>113</v>
      </c>
      <c r="C11" s="42" t="str">
        <f t="shared" si="0"/>
        <v>B8</v>
      </c>
      <c r="D11" s="46" t="str">
        <f t="shared" si="2"/>
        <v>C8</v>
      </c>
      <c r="E11" s="42" t="str">
        <f>VLOOKUP(Simulator!$C$6,$I$3:$M$13,3,FALSE)</f>
        <v>4000K,70Min</v>
      </c>
      <c r="F11" s="42" t="str">
        <f t="shared" si="1"/>
        <v>40AL7</v>
      </c>
      <c r="G11" s="42" t="s">
        <v>42</v>
      </c>
      <c r="H11" s="42" t="s">
        <v>25</v>
      </c>
      <c r="I11" s="42"/>
      <c r="K11" s="47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4" s="46" customFormat="1" ht="16.5" hidden="1" customHeight="1" x14ac:dyDescent="0.2">
      <c r="A12" s="42"/>
      <c r="B12" s="42" t="s">
        <v>114</v>
      </c>
      <c r="C12" s="42" t="str">
        <f t="shared" si="0"/>
        <v>B8</v>
      </c>
      <c r="D12" s="46" t="str">
        <f t="shared" si="2"/>
        <v>C8</v>
      </c>
      <c r="E12" s="42" t="str">
        <f>VLOOKUP(Simulator!$C$6,$I$3:$M$13,3,FALSE)</f>
        <v>4000K,70Min</v>
      </c>
      <c r="F12" s="42" t="str">
        <f t="shared" si="1"/>
        <v>40AL7</v>
      </c>
      <c r="G12" s="42" t="s">
        <v>41</v>
      </c>
      <c r="H12" s="42" t="s">
        <v>25</v>
      </c>
      <c r="I12" s="42"/>
      <c r="K12" s="47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4" s="46" customFormat="1" ht="16.5" hidden="1" customHeight="1" x14ac:dyDescent="0.2">
      <c r="A13" s="42"/>
      <c r="B13" s="42" t="s">
        <v>115</v>
      </c>
      <c r="C13" s="42" t="str">
        <f t="shared" si="0"/>
        <v>B8</v>
      </c>
      <c r="D13" s="46" t="str">
        <f t="shared" si="2"/>
        <v>C8</v>
      </c>
      <c r="E13" s="42" t="str">
        <f>VLOOKUP(Simulator!$C$6,$I$3:$M$13,3,FALSE)</f>
        <v>4000K,70Min</v>
      </c>
      <c r="F13" s="42" t="str">
        <f t="shared" si="1"/>
        <v>40AL7</v>
      </c>
      <c r="G13" s="42" t="s">
        <v>43</v>
      </c>
      <c r="H13" s="42" t="s">
        <v>25</v>
      </c>
      <c r="I13" s="42"/>
      <c r="K13" s="4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4" s="46" customFormat="1" ht="16.5" hidden="1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4" s="46" customFormat="1" ht="16.5" hidden="1" customHeight="1" x14ac:dyDescent="0.25">
      <c r="A15" s="42">
        <v>1</v>
      </c>
      <c r="B15" s="48" t="s">
        <v>44</v>
      </c>
      <c r="C15" s="42" t="s">
        <v>45</v>
      </c>
      <c r="D15" s="42" t="s">
        <v>46</v>
      </c>
      <c r="E15" s="42" t="s">
        <v>47</v>
      </c>
      <c r="F15" s="42" t="s">
        <v>48</v>
      </c>
      <c r="G15" s="42" t="s">
        <v>49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4" s="46" customFormat="1" ht="16.5" hidden="1" customHeight="1" x14ac:dyDescent="0.25">
      <c r="A16" s="42">
        <v>2</v>
      </c>
      <c r="B16" s="48" t="s">
        <v>50</v>
      </c>
      <c r="C16" s="42" t="s">
        <v>51</v>
      </c>
      <c r="D16" s="42" t="s">
        <v>46</v>
      </c>
      <c r="E16" s="42" t="s">
        <v>47</v>
      </c>
      <c r="F16" s="42" t="s">
        <v>5</v>
      </c>
      <c r="G16" s="42" t="s">
        <v>52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3" s="46" customFormat="1" ht="16.5" hidden="1" customHeight="1" x14ac:dyDescent="0.25">
      <c r="A17" s="42">
        <v>3</v>
      </c>
      <c r="B17" s="42"/>
      <c r="C17" s="42" t="s">
        <v>49</v>
      </c>
      <c r="D17" s="42" t="s">
        <v>53</v>
      </c>
      <c r="E17" s="42" t="s">
        <v>54</v>
      </c>
      <c r="F17" s="42" t="s">
        <v>5</v>
      </c>
      <c r="G17" s="42" t="s">
        <v>55</v>
      </c>
      <c r="H17" s="48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46" customFormat="1" ht="16.5" hidden="1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46" customFormat="1" ht="16.5" hidden="1" customHeight="1" x14ac:dyDescent="0.2">
      <c r="A19" s="8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s="46" customFormat="1" ht="16.5" hidden="1" customHeight="1" x14ac:dyDescent="0.2">
      <c r="A20" s="42"/>
      <c r="B20" s="42"/>
      <c r="C20" s="42" t="s">
        <v>56</v>
      </c>
      <c r="D20" s="42"/>
      <c r="E20" s="42"/>
      <c r="F20" s="42"/>
      <c r="G20" s="42"/>
      <c r="H20" s="42" t="s">
        <v>57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1:23" s="46" customFormat="1" ht="16.5" hidden="1" customHeight="1" x14ac:dyDescent="0.2">
      <c r="A21" s="42"/>
      <c r="B21" s="42"/>
      <c r="C21" s="42" t="str">
        <f>C15</f>
        <v>If (mA)</v>
      </c>
      <c r="D21" s="42" t="str">
        <f>D15</f>
        <v>Vf (V)</v>
      </c>
      <c r="E21" s="42" t="str">
        <f>E15</f>
        <v>Pd (W)</v>
      </c>
      <c r="F21" s="42" t="str">
        <f>F15</f>
        <v>lm/W</v>
      </c>
      <c r="G21" s="42" t="str">
        <f>Simulator!M9</f>
        <v>Tj (C)</v>
      </c>
      <c r="H21" s="42" t="str">
        <f>C16</f>
        <v>φv (lm)</v>
      </c>
      <c r="I21" s="42" t="str">
        <f>D16</f>
        <v>Vf (V)</v>
      </c>
      <c r="J21" s="42" t="str">
        <f>E16</f>
        <v>Pd (W)</v>
      </c>
      <c r="K21" s="42" t="str">
        <f>F16</f>
        <v>lm/W</v>
      </c>
      <c r="L21" s="42" t="str">
        <f>Simulator!M9</f>
        <v>Tj (C)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23" s="46" customFormat="1" ht="16.5" hidden="1" customHeight="1" x14ac:dyDescent="0.2">
      <c r="A22" s="42"/>
      <c r="B22" s="42"/>
      <c r="C22" s="42" t="str">
        <f>CONCATENATE($A15,C15)</f>
        <v>1If (mA)</v>
      </c>
      <c r="D22" s="42" t="str">
        <f>CONCATENATE($A15,D15)</f>
        <v>1Vf (V)</v>
      </c>
      <c r="E22" s="42" t="str">
        <f>CONCATENATE($A15,E15)</f>
        <v>1Pd (W)</v>
      </c>
      <c r="F22" s="42" t="str">
        <f>CONCATENATE($A15,F15)</f>
        <v>1lm/W</v>
      </c>
      <c r="G22" s="42" t="str">
        <f>CONCATENATE($A15,G21)</f>
        <v>1Tj (C)</v>
      </c>
      <c r="H22" s="42" t="str">
        <f>CONCATENATE($A16,C16)</f>
        <v>2φv (lm)</v>
      </c>
      <c r="I22" s="42" t="str">
        <f>CONCATENATE($A16,D16)</f>
        <v>2Vf (V)</v>
      </c>
      <c r="J22" s="42" t="str">
        <f>CONCATENATE($A16,E16)</f>
        <v>2Pd (W)</v>
      </c>
      <c r="K22" s="42" t="str">
        <f>CONCATENATE($A16,F16)</f>
        <v>2lm/W</v>
      </c>
      <c r="L22" s="42" t="str">
        <f>CONCATENATE($A16,L21)</f>
        <v>2Tj (C)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46" customFormat="1" ht="16.5" hidden="1" customHeight="1" x14ac:dyDescent="0.2">
      <c r="A23" s="42"/>
      <c r="B23" s="42" t="str">
        <f>B3</f>
        <v>CLU024-1201B8</v>
      </c>
      <c r="C23" s="87" t="str">
        <f>IF(Calculation!U91,Calculation!N67,"Not Applicable")</f>
        <v>Not Applicable</v>
      </c>
      <c r="D23" s="49" t="str">
        <f>IF(Calculation!U91,Calculation!P67,"Not Applicable")</f>
        <v>Not Applicable</v>
      </c>
      <c r="E23" s="49" t="str">
        <f>IF(Calculation!U91,Calculation!Q67,"Not Applicable")</f>
        <v>Not Applicable</v>
      </c>
      <c r="F23" s="49" t="str">
        <f>IF(Calculation!U91,Calculation!S67,"Not Applicable")</f>
        <v>Not Applicable</v>
      </c>
      <c r="G23" s="49" t="str">
        <f>IF(Calculation!W91,Calculation!V67,"Not Applicable")</f>
        <v>Not Applicable</v>
      </c>
      <c r="H23" s="87" t="str">
        <f>IF(Calculation!U142,Calculation!N119,"Not Applicable")</f>
        <v>Not Applicable</v>
      </c>
      <c r="I23" s="49" t="str">
        <f>IF(Calculation!U142,Calculation!P119,"Not Applicable")</f>
        <v>Not Applicable</v>
      </c>
      <c r="J23" s="49" t="str">
        <f>IF(Calculation!U142,Calculation!Q119,"Not Applicable")</f>
        <v>Not Applicable</v>
      </c>
      <c r="K23" s="49" t="str">
        <f>IF(Calculation!U142,Calculation!S119,"Not Applicable")</f>
        <v>Not Applicable</v>
      </c>
      <c r="L23" s="49" t="str">
        <f>IF(Calculation!W142,Calculation!V119,"Not Applicable")</f>
        <v>Not Applicable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s="46" customFormat="1" ht="16.5" hidden="1" customHeight="1" x14ac:dyDescent="0.2">
      <c r="A24" s="42"/>
      <c r="B24" s="42" t="str">
        <f t="shared" ref="B24:B33" si="3">B4</f>
        <v>CLU024-1202B8</v>
      </c>
      <c r="C24" s="87">
        <f>IF(Calculation!U92,Calculation!N68,"Not Applicable")</f>
        <v>189.6671300395235</v>
      </c>
      <c r="D24" s="49">
        <f>IF(Calculation!U92,Calculation!P68,"Not Applicable")</f>
        <v>35.875969773167576</v>
      </c>
      <c r="E24" s="49">
        <f>IF(Calculation!U92,Calculation!Q68,"Not Applicable")</f>
        <v>6.8044922242613897</v>
      </c>
      <c r="F24" s="49">
        <f>IF(Calculation!U92,Calculation!S68,"Not Applicable")</f>
        <v>146.96173748784722</v>
      </c>
      <c r="G24" s="49">
        <f>IF(Calculation!W92,Calculation!V68,"Not Applicable")</f>
        <v>41.330781338227339</v>
      </c>
      <c r="H24" s="87" t="str">
        <f>IF(Calculation!U143,Calculation!N120,"Not Applicable")</f>
        <v>Not Applicable</v>
      </c>
      <c r="I24" s="49" t="str">
        <f>IF(Calculation!U143,Calculation!P120,"Not Applicable")</f>
        <v>Not Applicable</v>
      </c>
      <c r="J24" s="49" t="str">
        <f>IF(Calculation!U143,Calculation!Q120,"Not Applicable")</f>
        <v>Not Applicable</v>
      </c>
      <c r="K24" s="49" t="str">
        <f>IF(Calculation!U143,Calculation!S120,"Not Applicable")</f>
        <v>Not Applicable</v>
      </c>
      <c r="L24" s="49" t="str">
        <f>IF(Calculation!W143,Calculation!V120,"Not Applicable")</f>
        <v>Not Applicable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46" customFormat="1" ht="16.5" hidden="1" customHeight="1" x14ac:dyDescent="0.2">
      <c r="A25" s="42"/>
      <c r="B25" s="42" t="str">
        <f t="shared" si="3"/>
        <v>CLU024-1203B8</v>
      </c>
      <c r="C25" s="87">
        <f>IF(Calculation!U93,Calculation!N69,"Not Applicable")</f>
        <v>188.26231400787387</v>
      </c>
      <c r="D25" s="49">
        <f>IF(Calculation!U93,Calculation!P69,"Not Applicable")</f>
        <v>34.661114560813303</v>
      </c>
      <c r="E25" s="49">
        <f>IF(Calculation!U93,Calculation!Q69,"Not Applicable")</f>
        <v>6.5253816333107233</v>
      </c>
      <c r="F25" s="49">
        <f>IF(Calculation!U93,Calculation!S69,"Not Applicable")</f>
        <v>153.2477418478035</v>
      </c>
      <c r="G25" s="49">
        <f>IF(Calculation!W93,Calculation!V69,"Not Applicable")</f>
        <v>36.093148776628226</v>
      </c>
      <c r="H25" s="87" t="str">
        <f>IF(Calculation!U144,Calculation!N121,"Not Applicable")</f>
        <v>Not Applicable</v>
      </c>
      <c r="I25" s="49" t="str">
        <f>IF(Calculation!U144,Calculation!P121,"Not Applicable")</f>
        <v>Not Applicable</v>
      </c>
      <c r="J25" s="49" t="str">
        <f>IF(Calculation!U144,Calculation!Q121,"Not Applicable")</f>
        <v>Not Applicable</v>
      </c>
      <c r="K25" s="49" t="str">
        <f>IF(Calculation!U144,Calculation!S121,"Not Applicable")</f>
        <v>Not Applicable</v>
      </c>
      <c r="L25" s="49" t="str">
        <f>IF(Calculation!W144,Calculation!V121,"Not Applicable")</f>
        <v>Not Applicable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s="46" customFormat="1" ht="16.5" hidden="1" customHeight="1" x14ac:dyDescent="0.2">
      <c r="A26" s="42"/>
      <c r="B26" s="42" t="str">
        <f t="shared" si="3"/>
        <v>CLU024-1204B8</v>
      </c>
      <c r="C26" s="87">
        <f>IF(Calculation!U94,Calculation!N70,"Not Applicable")</f>
        <v>188.97298894472814</v>
      </c>
      <c r="D26" s="49">
        <f>IF(Calculation!U94,Calculation!P70,"Not Applicable")</f>
        <v>34.014387138950809</v>
      </c>
      <c r="E26" s="49">
        <f>IF(Calculation!U94,Calculation!Q70,"Not Applicable")</f>
        <v>6.4278004047706547</v>
      </c>
      <c r="F26" s="49">
        <f>IF(Calculation!U94,Calculation!S70,"Not Applicable")</f>
        <v>155.57421466569016</v>
      </c>
      <c r="G26" s="49">
        <f>IF(Calculation!W94,Calculation!V70,"Not Applicable")</f>
        <v>33.998920566678919</v>
      </c>
      <c r="H26" s="87" t="str">
        <f>IF(Calculation!U145,Calculation!N122,"Not Applicable")</f>
        <v>Not Applicable</v>
      </c>
      <c r="I26" s="49" t="str">
        <f>IF(Calculation!U145,Calculation!P122,"Not Applicable")</f>
        <v>Not Applicable</v>
      </c>
      <c r="J26" s="49" t="str">
        <f>IF(Calculation!U145,Calculation!Q122,"Not Applicable")</f>
        <v>Not Applicable</v>
      </c>
      <c r="K26" s="49" t="str">
        <f>IF(Calculation!U145,Calculation!S122,"Not Applicable")</f>
        <v>Not Applicable</v>
      </c>
      <c r="L26" s="49" t="str">
        <f>IF(Calculation!W145,Calculation!V122,"Not Applicable")</f>
        <v>Not Applicable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s="46" customFormat="1" ht="16.5" hidden="1" customHeight="1" x14ac:dyDescent="0.2">
      <c r="A27" s="42"/>
      <c r="B27" s="42" t="str">
        <f t="shared" si="3"/>
        <v>CLU034-1205B8</v>
      </c>
      <c r="C27" s="87">
        <f>IF(Calculation!U95,Calculation!N71,"Not Applicable")</f>
        <v>178.50193097221623</v>
      </c>
      <c r="D27" s="49">
        <f>IF(Calculation!U95,Calculation!P71,"Not Applicable")</f>
        <v>33.508007374524752</v>
      </c>
      <c r="E27" s="49">
        <f>IF(Calculation!U95,Calculation!Q71,"Not Applicable")</f>
        <v>5.9812440193839294</v>
      </c>
      <c r="F27" s="49">
        <f>IF(Calculation!U95,Calculation!S71,"Not Applicable")</f>
        <v>167.18929987795423</v>
      </c>
      <c r="G27" s="49">
        <f>IF(Calculation!W95,Calculation!V71,"Not Applicable")</f>
        <v>31.579368421322322</v>
      </c>
      <c r="H27" s="87" t="str">
        <f>IF(Calculation!U146,Calculation!N123,"Not Applicable")</f>
        <v>Not Applicable</v>
      </c>
      <c r="I27" s="49" t="str">
        <f>IF(Calculation!U146,Calculation!P123,"Not Applicable")</f>
        <v>Not Applicable</v>
      </c>
      <c r="J27" s="49" t="str">
        <f>IF(Calculation!U146,Calculation!Q123,"Not Applicable")</f>
        <v>Not Applicable</v>
      </c>
      <c r="K27" s="49" t="str">
        <f>IF(Calculation!U146,Calculation!S123,"Not Applicable")</f>
        <v>Not Applicable</v>
      </c>
      <c r="L27" s="49" t="str">
        <f>IF(Calculation!W146,Calculation!V123,"Not Applicable")</f>
        <v>Not Applicable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s="46" customFormat="1" ht="16.5" hidden="1" customHeight="1" x14ac:dyDescent="0.2">
      <c r="A28" s="42"/>
      <c r="B28" s="42" t="str">
        <f t="shared" si="3"/>
        <v>CLU034-1206B8</v>
      </c>
      <c r="C28" s="87">
        <f>IF(Calculation!U96,Calculation!N72,"Not Applicable")</f>
        <v>179.62039722004059</v>
      </c>
      <c r="D28" s="49">
        <f>IF(Calculation!U96,Calculation!P72,"Not Applicable")</f>
        <v>33.247141614017323</v>
      </c>
      <c r="E28" s="49">
        <f>IF(Calculation!U96,Calculation!Q72,"Not Applicable")</f>
        <v>5.9718647831407337</v>
      </c>
      <c r="F28" s="49">
        <f>IF(Calculation!U96,Calculation!S72,"Not Applicable")</f>
        <v>167.45188250462667</v>
      </c>
      <c r="G28" s="49">
        <f>IF(Calculation!W96,Calculation!V72,"Not Applicable")</f>
        <v>30.852427487477918</v>
      </c>
      <c r="H28" s="87">
        <f>IF(Calculation!U147,Calculation!N124,"Not Applicable")</f>
        <v>4772.1790605602555</v>
      </c>
      <c r="I28" s="49">
        <f>IF(Calculation!U147,Calculation!P124,"Not Applicable")</f>
        <v>37.996373185836703</v>
      </c>
      <c r="J28" s="49">
        <f>IF(Calculation!U147,Calculation!Q124,"Not Applicable")</f>
        <v>37.996373185836703</v>
      </c>
      <c r="K28" s="49">
        <f>IF(Calculation!U147,Calculation!S124,"Not Applicable")</f>
        <v>125.59564664816757</v>
      </c>
      <c r="L28" s="49">
        <f>IF(Calculation!W147,Calculation!V124,"Not Applicable")</f>
        <v>62.236445722119967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s="46" customFormat="1" ht="16.5" hidden="1" customHeight="1" x14ac:dyDescent="0.2">
      <c r="A29" s="42"/>
      <c r="B29" s="42" t="str">
        <f t="shared" si="3"/>
        <v>CLU034-1208B8</v>
      </c>
      <c r="C29" s="87">
        <f>IF(Calculation!U97,Calculation!N73,"Not Applicable")</f>
        <v>182.11746417952631</v>
      </c>
      <c r="D29" s="49">
        <f>IF(Calculation!U97,Calculation!P73,"Not Applicable")</f>
        <v>32.915074536896221</v>
      </c>
      <c r="E29" s="49">
        <f>IF(Calculation!U97,Calculation!Q73,"Not Applicable")</f>
        <v>5.9944099079396356</v>
      </c>
      <c r="F29" s="49">
        <f>IF(Calculation!U97,Calculation!S73,"Not Applicable")</f>
        <v>166.82209180848534</v>
      </c>
      <c r="G29" s="49">
        <f>IF(Calculation!W97,Calculation!V73,"Not Applicable")</f>
        <v>29.675639728192916</v>
      </c>
      <c r="H29" s="87">
        <f>IF(Calculation!U148,Calculation!N125,"Not Applicable")</f>
        <v>4873.4934895984452</v>
      </c>
      <c r="I29" s="49">
        <f>IF(Calculation!U148,Calculation!P125,"Not Applicable")</f>
        <v>36.867459884670083</v>
      </c>
      <c r="J29" s="49">
        <f>IF(Calculation!U148,Calculation!Q125,"Not Applicable")</f>
        <v>36.867459884670083</v>
      </c>
      <c r="K29" s="49">
        <f>IF(Calculation!U148,Calculation!S125,"Not Applicable")</f>
        <v>132.18956512989658</v>
      </c>
      <c r="L29" s="49">
        <f>IF(Calculation!W148,Calculation!V125,"Not Applicable")</f>
        <v>53.756618710042666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s="46" customFormat="1" ht="16.5" hidden="1" customHeight="1" x14ac:dyDescent="0.2">
      <c r="A30" s="42"/>
      <c r="B30" s="42" t="str">
        <f t="shared" si="3"/>
        <v>CLU044-1212B8</v>
      </c>
      <c r="C30" s="87">
        <f>IF(Calculation!U98,Calculation!N74,"Not Applicable")</f>
        <v>174.39475024362247</v>
      </c>
      <c r="D30" s="49">
        <f>IF(Calculation!U98,Calculation!P74,"Not Applicable")</f>
        <v>32.523750122132419</v>
      </c>
      <c r="E30" s="49">
        <f>IF(Calculation!U98,Calculation!Q74,"Not Applicable")</f>
        <v>5.6719712795352688</v>
      </c>
      <c r="F30" s="49">
        <f>IF(Calculation!U98,Calculation!S74,"Not Applicable")</f>
        <v>176.30554717511453</v>
      </c>
      <c r="G30" s="49">
        <f>IF(Calculation!W98,Calculation!V74,"Not Applicable")</f>
        <v>27.949425065358341</v>
      </c>
      <c r="H30" s="87">
        <f>IF(Calculation!U149,Calculation!N126,"Not Applicable")</f>
        <v>5278.0817548387558</v>
      </c>
      <c r="I30" s="49">
        <f>IF(Calculation!U149,Calculation!P126,"Not Applicable")</f>
        <v>35.459475269663074</v>
      </c>
      <c r="J30" s="49">
        <f>IF(Calculation!U149,Calculation!Q126,"Not Applicable")</f>
        <v>35.459475269663074</v>
      </c>
      <c r="K30" s="49">
        <f>IF(Calculation!U149,Calculation!S126,"Not Applicable")</f>
        <v>148.84827580498222</v>
      </c>
      <c r="L30" s="49">
        <f>IF(Calculation!W149,Calculation!V126,"Not Applicable")</f>
        <v>43.438927140224799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s="46" customFormat="1" ht="16.5" hidden="1" customHeight="1" x14ac:dyDescent="0.2">
      <c r="A31" s="42"/>
      <c r="B31" s="42" t="str">
        <f t="shared" si="3"/>
        <v>CLU044-1812B8</v>
      </c>
      <c r="C31" s="87">
        <f>IF(Calculation!U99,Calculation!N75,"Not Applicable")</f>
        <v>119.31408363771934</v>
      </c>
      <c r="D31" s="49">
        <f>IF(Calculation!U99,Calculation!P75,"Not Applicable")</f>
        <v>48.40598617317422</v>
      </c>
      <c r="E31" s="49">
        <f>IF(Calculation!U99,Calculation!Q75,"Not Applicable")</f>
        <v>5.7755158828323951</v>
      </c>
      <c r="F31" s="49">
        <f>IF(Calculation!U99,Calculation!S75,"Not Applicable")</f>
        <v>173.14470608114505</v>
      </c>
      <c r="G31" s="49">
        <f>IF(Calculation!W99,Calculation!V75,"Not Applicable")</f>
        <v>27.252451194304633</v>
      </c>
      <c r="H31" s="87">
        <f>IF(Calculation!U150,Calculation!N127,"Not Applicable")</f>
        <v>7672.118837272249</v>
      </c>
      <c r="I31" s="49">
        <f>IF(Calculation!U150,Calculation!P127,"Not Applicable")</f>
        <v>53.139549773864822</v>
      </c>
      <c r="J31" s="49">
        <f>IF(Calculation!U150,Calculation!Q127,"Not Applicable")</f>
        <v>53.139549773864822</v>
      </c>
      <c r="K31" s="49">
        <f>IF(Calculation!U150,Calculation!S127,"Not Applicable")</f>
        <v>144.37681293727414</v>
      </c>
      <c r="L31" s="49">
        <f>IF(Calculation!W150,Calculation!V127,"Not Applicable")</f>
        <v>45.724424411807277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s="46" customFormat="1" ht="16.5" hidden="1" customHeight="1" x14ac:dyDescent="0.2">
      <c r="A32" s="42"/>
      <c r="B32" s="42" t="str">
        <f t="shared" si="3"/>
        <v>CLU044-1818B8</v>
      </c>
      <c r="C32" s="87">
        <f>IF(Calculation!U100,Calculation!N76,"Not Applicable")</f>
        <v>122.17848852003732</v>
      </c>
      <c r="D32" s="49">
        <f>IF(Calculation!U100,Calculation!P76,"Not Applicable")</f>
        <v>48.173395223022858</v>
      </c>
      <c r="E32" s="49">
        <f>IF(Calculation!U100,Calculation!Q76,"Not Applicable")</f>
        <v>5.885752615227319</v>
      </c>
      <c r="F32" s="49">
        <f>IF(Calculation!U100,Calculation!S76,"Not Applicable")</f>
        <v>169.90180617052286</v>
      </c>
      <c r="G32" s="49">
        <f>IF(Calculation!W100,Calculation!V76,"Not Applicable")</f>
        <v>26.530295679959103</v>
      </c>
      <c r="H32" s="87">
        <f>IF(Calculation!U151,Calculation!N128,"Not Applicable")</f>
        <v>7712.1879249361609</v>
      </c>
      <c r="I32" s="49">
        <f>IF(Calculation!U151,Calculation!P128,"Not Applicable")</f>
        <v>51.500537517812688</v>
      </c>
      <c r="J32" s="49">
        <f>IF(Calculation!U151,Calculation!Q128,"Not Applicable")</f>
        <v>51.500537517812688</v>
      </c>
      <c r="K32" s="49">
        <f>IF(Calculation!U151,Calculation!S128,"Not Applicable")</f>
        <v>149.74965887042862</v>
      </c>
      <c r="L32" s="49">
        <f>IF(Calculation!W151,Calculation!V128,"Not Applicable")</f>
        <v>38.390139754631299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s="46" customFormat="1" ht="16.5" hidden="1" customHeight="1" x14ac:dyDescent="0.2">
      <c r="A33" s="42"/>
      <c r="B33" s="42" t="str">
        <f t="shared" si="3"/>
        <v>CLU054-1825B8</v>
      </c>
      <c r="C33" s="87" t="str">
        <f>IF(Calculation!U101,Calculation!N77,"Not Applicable")</f>
        <v>Not Applicable</v>
      </c>
      <c r="D33" s="49" t="str">
        <f>IF(Calculation!U101,Calculation!P77,"Not Applicable")</f>
        <v>Not Applicable</v>
      </c>
      <c r="E33" s="49" t="str">
        <f>IF(Calculation!U101,Calculation!Q77,"Not Applicable")</f>
        <v>Not Applicable</v>
      </c>
      <c r="F33" s="49" t="str">
        <f>IF(Calculation!U101,Calculation!S77,"Not Applicable")</f>
        <v>Not Applicable</v>
      </c>
      <c r="G33" s="49" t="str">
        <f>IF(Calculation!W101,Calculation!V77,"Not Applicable")</f>
        <v>Not Applicable</v>
      </c>
      <c r="H33" s="87">
        <f>IF(Calculation!U152,Calculation!N129,"Not Applicable")</f>
        <v>8116.9478101200748</v>
      </c>
      <c r="I33" s="49">
        <f>IF(Calculation!U152,Calculation!P129,"Not Applicable")</f>
        <v>50.501500966046621</v>
      </c>
      <c r="J33" s="49">
        <f>IF(Calculation!U152,Calculation!Q129,"Not Applicable")</f>
        <v>50.501500966046621</v>
      </c>
      <c r="K33" s="49">
        <f>IF(Calculation!U152,Calculation!S129,"Not Applicable")</f>
        <v>160.72686266448386</v>
      </c>
      <c r="L33" s="49">
        <f>IF(Calculation!W152,Calculation!V129,"Not Applicable")</f>
        <v>37.625375241511655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s="46" customFormat="1" ht="16.5" hidden="1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46" customFormat="1" ht="16.5" hidden="1" customHeight="1" x14ac:dyDescent="0.25">
      <c r="A35" s="42"/>
      <c r="B35" s="48" t="s">
        <v>58</v>
      </c>
      <c r="C35" s="48"/>
      <c r="D35" s="4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s="46" customFormat="1" ht="16.5" hidden="1" customHeight="1" x14ac:dyDescent="0.25">
      <c r="A36" s="42"/>
      <c r="B36" s="48" t="s">
        <v>59</v>
      </c>
      <c r="C36" s="48" t="s">
        <v>60</v>
      </c>
      <c r="D36" s="48" t="s">
        <v>130</v>
      </c>
      <c r="E36" s="48" t="s">
        <v>131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s="46" customFormat="1" ht="16.5" hidden="1" customHeight="1" x14ac:dyDescent="0.25">
      <c r="A37" s="42"/>
      <c r="B37" s="48"/>
      <c r="C37" s="48">
        <v>5</v>
      </c>
      <c r="D37" s="48">
        <v>120</v>
      </c>
      <c r="E37" s="48">
        <v>180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s="46" customFormat="1" ht="16.5" hidden="1" customHeight="1" x14ac:dyDescent="0.25">
      <c r="A38" s="42"/>
      <c r="B38" s="48" t="s">
        <v>103</v>
      </c>
      <c r="C38" s="48" t="s">
        <v>61</v>
      </c>
      <c r="D38" s="48" t="s">
        <v>60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s="46" customFormat="1" ht="16.5" hidden="1" customHeight="1" x14ac:dyDescent="0.25">
      <c r="A39" s="42"/>
      <c r="B39" s="48"/>
      <c r="C39" s="48">
        <v>100</v>
      </c>
      <c r="D39" s="48">
        <v>-40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s="46" customFormat="1" ht="16.5" hidden="1" customHeight="1" x14ac:dyDescent="0.25">
      <c r="A40" s="42"/>
      <c r="B40" s="48" t="s">
        <v>62</v>
      </c>
      <c r="C40" s="48" t="s">
        <v>61</v>
      </c>
      <c r="D40" s="48" t="s">
        <v>60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s="46" customFormat="1" ht="16.5" hidden="1" customHeight="1" x14ac:dyDescent="0.25">
      <c r="A41" s="42"/>
      <c r="B41" s="48"/>
      <c r="C41" s="48">
        <v>140</v>
      </c>
      <c r="D41" s="48">
        <v>-25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s="46" customFormat="1" ht="16.5" hidden="1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s="46" customFormat="1" ht="16.5" hidden="1" customHeight="1" x14ac:dyDescent="0.3">
      <c r="A43" s="155" t="s">
        <v>138</v>
      </c>
      <c r="B43" s="155"/>
      <c r="C43" s="88" t="s">
        <v>140</v>
      </c>
      <c r="H43" s="42"/>
      <c r="I43" s="156" t="s">
        <v>133</v>
      </c>
      <c r="J43" s="155"/>
      <c r="K43" s="88" t="s">
        <v>140</v>
      </c>
    </row>
    <row r="44" spans="1:23" s="46" customFormat="1" ht="16.5" hidden="1" customHeight="1" x14ac:dyDescent="0.2">
      <c r="H44" s="42"/>
      <c r="I44" s="42"/>
    </row>
    <row r="45" spans="1:23" s="46" customFormat="1" ht="16.5" hidden="1" customHeight="1" x14ac:dyDescent="0.2">
      <c r="C45" s="46" t="s">
        <v>63</v>
      </c>
      <c r="D45" s="46" t="s">
        <v>64</v>
      </c>
      <c r="E45" s="46" t="s">
        <v>65</v>
      </c>
      <c r="F45" s="46" t="s">
        <v>66</v>
      </c>
      <c r="G45" s="46" t="s">
        <v>67</v>
      </c>
      <c r="H45" s="42"/>
      <c r="I45" s="42"/>
      <c r="K45" s="46" t="s">
        <v>63</v>
      </c>
      <c r="L45" s="46" t="s">
        <v>64</v>
      </c>
      <c r="M45" s="46" t="s">
        <v>65</v>
      </c>
      <c r="N45" s="46" t="s">
        <v>66</v>
      </c>
      <c r="O45" s="46" t="s">
        <v>67</v>
      </c>
    </row>
    <row r="46" spans="1:23" s="46" customFormat="1" ht="16.5" hidden="1" customHeight="1" x14ac:dyDescent="0.2">
      <c r="B46" s="50" t="s">
        <v>68</v>
      </c>
      <c r="C46" s="51">
        <v>1.4959930582130001E-8</v>
      </c>
      <c r="D46" s="51">
        <v>0.95475185345640101</v>
      </c>
      <c r="E46" s="51">
        <v>-2.2513262441456201E-6</v>
      </c>
      <c r="F46" s="51">
        <v>-6.0226564939269899E-6</v>
      </c>
      <c r="G46" s="51">
        <v>2.4213782839521899E-6</v>
      </c>
      <c r="H46" s="42"/>
      <c r="I46" s="42"/>
      <c r="J46" s="50" t="s">
        <v>68</v>
      </c>
      <c r="K46" s="51"/>
      <c r="L46" s="52"/>
      <c r="M46" s="51"/>
      <c r="N46" s="51"/>
      <c r="O46" s="51"/>
    </row>
    <row r="47" spans="1:23" s="46" customFormat="1" ht="16.5" hidden="1" customHeight="1" x14ac:dyDescent="0.2">
      <c r="B47" s="50" t="s">
        <v>69</v>
      </c>
      <c r="C47" s="51">
        <v>-1.5312212071371099E-5</v>
      </c>
      <c r="D47" s="51">
        <v>8.3951765166930805</v>
      </c>
      <c r="E47" s="51">
        <v>1.41556832492483E-3</v>
      </c>
      <c r="F47" s="51">
        <v>-1.79489204966721E-3</v>
      </c>
      <c r="G47" s="51">
        <v>-9.2480077764239799E-4</v>
      </c>
      <c r="H47" s="42"/>
      <c r="I47" s="42"/>
      <c r="J47" s="50" t="s">
        <v>69</v>
      </c>
      <c r="K47" s="51"/>
      <c r="L47" s="53"/>
      <c r="M47" s="51"/>
      <c r="N47" s="51"/>
      <c r="O47" s="51"/>
    </row>
    <row r="48" spans="1:23" s="46" customFormat="1" ht="16.5" hidden="1" customHeight="1" x14ac:dyDescent="0.2">
      <c r="B48" s="50" t="s">
        <v>70</v>
      </c>
      <c r="C48" s="51">
        <v>1.2367473621430199E-2</v>
      </c>
      <c r="D48" s="51">
        <v>80.612706454674495</v>
      </c>
      <c r="E48" s="51">
        <v>0.89093042931594402</v>
      </c>
      <c r="F48" s="51">
        <v>1.0486366979999999</v>
      </c>
      <c r="G48" s="51">
        <v>1.0216090403010001</v>
      </c>
      <c r="H48" s="42"/>
      <c r="I48" s="42"/>
      <c r="J48" s="50" t="s">
        <v>70</v>
      </c>
      <c r="K48" s="51"/>
      <c r="L48" s="52"/>
      <c r="M48" s="51"/>
      <c r="N48" s="51"/>
      <c r="O48" s="51"/>
    </row>
    <row r="49" spans="1:23" s="46" customFormat="1" ht="16.5" hidden="1" customHeight="1" x14ac:dyDescent="0.2">
      <c r="B49" s="50" t="s">
        <v>100</v>
      </c>
      <c r="C49" s="51">
        <v>4.02206763050306E-4</v>
      </c>
      <c r="D49" s="51">
        <v>9.9780080160052805E-3</v>
      </c>
      <c r="E49" s="51"/>
      <c r="F49" s="51"/>
      <c r="G49" s="51"/>
      <c r="H49" s="42"/>
      <c r="I49" s="42"/>
      <c r="J49" s="50" t="s">
        <v>100</v>
      </c>
      <c r="K49" s="51"/>
      <c r="L49" s="52"/>
      <c r="M49" s="51"/>
      <c r="N49" s="51"/>
      <c r="O49" s="51"/>
    </row>
    <row r="50" spans="1:23" s="46" customFormat="1" ht="16.5" hidden="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23" s="46" customFormat="1" ht="16.5" hidden="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 t="s">
        <v>141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s="46" customFormat="1" ht="16.5" hidden="1" customHeight="1" x14ac:dyDescent="0.2">
      <c r="A52" s="50" t="s">
        <v>132</v>
      </c>
      <c r="B52" s="50" t="s">
        <v>63</v>
      </c>
      <c r="C52" s="50" t="s">
        <v>64</v>
      </c>
      <c r="D52" s="50" t="s">
        <v>65</v>
      </c>
      <c r="E52" s="50" t="s">
        <v>66</v>
      </c>
      <c r="F52" s="50" t="s">
        <v>67</v>
      </c>
      <c r="G52" s="42"/>
      <c r="H52" s="54"/>
      <c r="I52" s="54"/>
      <c r="J52" s="54"/>
      <c r="K52" s="54"/>
      <c r="L52" s="54">
        <v>1</v>
      </c>
      <c r="M52" s="54">
        <v>2</v>
      </c>
      <c r="N52" s="54">
        <v>3</v>
      </c>
      <c r="O52" s="54">
        <v>4</v>
      </c>
      <c r="P52" s="54">
        <v>5</v>
      </c>
      <c r="Q52" s="54">
        <v>6</v>
      </c>
      <c r="R52" s="54">
        <v>7</v>
      </c>
      <c r="S52" s="54">
        <v>8</v>
      </c>
      <c r="T52" s="54">
        <v>9</v>
      </c>
      <c r="U52" s="54">
        <v>10</v>
      </c>
      <c r="V52" s="54">
        <v>11</v>
      </c>
      <c r="W52" s="42"/>
    </row>
    <row r="53" spans="1:23" s="46" customFormat="1" ht="16.5" hidden="1" customHeight="1" x14ac:dyDescent="0.2">
      <c r="A53" s="50" t="s">
        <v>68</v>
      </c>
      <c r="B53" s="51">
        <f t="shared" ref="B53:F56" si="4">C46</f>
        <v>1.4959930582130001E-8</v>
      </c>
      <c r="C53" s="51">
        <f t="shared" si="4"/>
        <v>0.95475185345640101</v>
      </c>
      <c r="D53" s="51">
        <f t="shared" si="4"/>
        <v>-2.2513262441456201E-6</v>
      </c>
      <c r="E53" s="51">
        <f t="shared" si="4"/>
        <v>-6.0226564939269899E-6</v>
      </c>
      <c r="F53" s="51">
        <f t="shared" si="4"/>
        <v>2.4213782839521899E-6</v>
      </c>
      <c r="G53" s="42"/>
      <c r="H53" s="55" t="s">
        <v>6</v>
      </c>
      <c r="I53" s="56" t="s">
        <v>7</v>
      </c>
      <c r="J53" s="54"/>
      <c r="K53" s="54" t="s">
        <v>71</v>
      </c>
      <c r="L53" s="54" t="str">
        <f>K3</f>
        <v>5000K,80Min</v>
      </c>
      <c r="M53" s="54" t="str">
        <f>K4</f>
        <v>4000K,80Min</v>
      </c>
      <c r="N53" s="54" t="str">
        <f>K5</f>
        <v>3500K,80Min</v>
      </c>
      <c r="O53" s="54" t="str">
        <f>K6</f>
        <v>3000K,80Min</v>
      </c>
      <c r="P53" s="54" t="str">
        <f>K7</f>
        <v>2700K,80Min</v>
      </c>
      <c r="Q53" s="54" t="str">
        <f>K8</f>
        <v>5000K,70Min</v>
      </c>
      <c r="R53" s="54" t="str">
        <f>K9</f>
        <v>4000K,70Min</v>
      </c>
      <c r="S53" s="54" t="str">
        <f>K10</f>
        <v>3000K,70Min</v>
      </c>
      <c r="T53" s="54"/>
      <c r="U53" s="54"/>
      <c r="V53" s="54"/>
      <c r="W53" s="42"/>
    </row>
    <row r="54" spans="1:23" s="46" customFormat="1" ht="16.5" hidden="1" customHeight="1" x14ac:dyDescent="0.2">
      <c r="A54" s="50" t="s">
        <v>69</v>
      </c>
      <c r="B54" s="51">
        <f t="shared" si="4"/>
        <v>-1.5312212071371099E-5</v>
      </c>
      <c r="C54" s="51">
        <f t="shared" si="4"/>
        <v>8.3951765166930805</v>
      </c>
      <c r="D54" s="51">
        <f t="shared" si="4"/>
        <v>1.41556832492483E-3</v>
      </c>
      <c r="E54" s="51">
        <f t="shared" si="4"/>
        <v>-1.79489204966721E-3</v>
      </c>
      <c r="F54" s="51">
        <f t="shared" si="4"/>
        <v>-9.2480077764239799E-4</v>
      </c>
      <c r="G54" s="42">
        <f>H54*I54</f>
        <v>12</v>
      </c>
      <c r="H54" s="42">
        <v>12</v>
      </c>
      <c r="I54" s="42">
        <v>1</v>
      </c>
      <c r="J54" s="42" t="str">
        <f>B3</f>
        <v>CLU024-1201B8</v>
      </c>
      <c r="K54" s="42">
        <v>35.700000000000003</v>
      </c>
      <c r="L54" s="42">
        <v>455</v>
      </c>
      <c r="M54" s="42">
        <v>446</v>
      </c>
      <c r="N54" s="42">
        <v>437</v>
      </c>
      <c r="O54" s="42">
        <v>426</v>
      </c>
      <c r="P54" s="42">
        <v>407</v>
      </c>
      <c r="Q54" s="42">
        <v>483</v>
      </c>
      <c r="R54" s="42">
        <v>477</v>
      </c>
      <c r="S54" s="42">
        <v>456</v>
      </c>
      <c r="T54" s="42"/>
      <c r="U54" s="42"/>
      <c r="V54" s="42"/>
      <c r="W54" s="57"/>
    </row>
    <row r="55" spans="1:23" s="46" customFormat="1" ht="16.5" hidden="1" customHeight="1" x14ac:dyDescent="0.2">
      <c r="A55" s="50" t="s">
        <v>70</v>
      </c>
      <c r="B55" s="51">
        <f t="shared" si="4"/>
        <v>1.2367473621430199E-2</v>
      </c>
      <c r="C55" s="51">
        <f t="shared" si="4"/>
        <v>80.612706454674495</v>
      </c>
      <c r="D55" s="51">
        <f t="shared" si="4"/>
        <v>0.89093042931594402</v>
      </c>
      <c r="E55" s="51">
        <f t="shared" si="4"/>
        <v>1.0486366979999999</v>
      </c>
      <c r="F55" s="51">
        <f t="shared" si="4"/>
        <v>1.0216090403010001</v>
      </c>
      <c r="G55" s="42">
        <f t="shared" ref="G55:G64" si="5">H55*I55</f>
        <v>24</v>
      </c>
      <c r="H55" s="42">
        <v>12</v>
      </c>
      <c r="I55" s="42">
        <v>2</v>
      </c>
      <c r="J55" s="42" t="str">
        <f t="shared" ref="J55:J64" si="6">B4</f>
        <v>CLU024-1202B8</v>
      </c>
      <c r="K55" s="42">
        <v>35.700000000000003</v>
      </c>
      <c r="L55" s="42">
        <v>909</v>
      </c>
      <c r="M55" s="42">
        <v>892</v>
      </c>
      <c r="N55" s="42">
        <v>874</v>
      </c>
      <c r="O55" s="42">
        <v>852</v>
      </c>
      <c r="P55" s="42">
        <v>814</v>
      </c>
      <c r="Q55" s="42">
        <v>966</v>
      </c>
      <c r="R55" s="42">
        <v>954</v>
      </c>
      <c r="S55" s="46">
        <v>911</v>
      </c>
      <c r="W55" s="57"/>
    </row>
    <row r="56" spans="1:23" s="46" customFormat="1" ht="16.5" hidden="1" customHeight="1" x14ac:dyDescent="0.2">
      <c r="A56" s="54" t="s">
        <v>101</v>
      </c>
      <c r="B56" s="51">
        <f t="shared" si="4"/>
        <v>4.02206763050306E-4</v>
      </c>
      <c r="C56" s="51">
        <f t="shared" si="4"/>
        <v>9.9780080160052805E-3</v>
      </c>
      <c r="D56" s="42"/>
      <c r="E56" s="42"/>
      <c r="F56" s="42"/>
      <c r="G56" s="42">
        <f t="shared" si="5"/>
        <v>36</v>
      </c>
      <c r="H56" s="42">
        <v>12</v>
      </c>
      <c r="I56" s="42">
        <v>3</v>
      </c>
      <c r="J56" s="42" t="str">
        <f t="shared" si="6"/>
        <v>CLU024-1203B8</v>
      </c>
      <c r="K56" s="42">
        <v>35.700000000000003</v>
      </c>
      <c r="L56" s="42">
        <v>1324</v>
      </c>
      <c r="M56" s="42">
        <v>1298</v>
      </c>
      <c r="N56" s="42">
        <v>1272</v>
      </c>
      <c r="O56" s="42">
        <v>1240</v>
      </c>
      <c r="P56" s="42">
        <v>1185</v>
      </c>
      <c r="Q56" s="42">
        <v>1406</v>
      </c>
      <c r="R56" s="42">
        <v>1389</v>
      </c>
      <c r="S56" s="46">
        <v>1327</v>
      </c>
      <c r="W56" s="57"/>
    </row>
    <row r="57" spans="1:23" s="46" customFormat="1" ht="16.5" hidden="1" customHeight="1" x14ac:dyDescent="0.2">
      <c r="A57" s="42"/>
      <c r="B57" s="58"/>
      <c r="C57" s="58"/>
      <c r="D57" s="42"/>
      <c r="E57" s="42"/>
      <c r="G57" s="42">
        <f t="shared" si="5"/>
        <v>48</v>
      </c>
      <c r="H57" s="42">
        <v>12</v>
      </c>
      <c r="I57" s="42">
        <v>4</v>
      </c>
      <c r="J57" s="42" t="str">
        <f t="shared" si="6"/>
        <v>CLU024-1204B8</v>
      </c>
      <c r="K57" s="42">
        <v>35.700000000000003</v>
      </c>
      <c r="L57" s="42">
        <v>1725</v>
      </c>
      <c r="M57" s="42">
        <v>1692</v>
      </c>
      <c r="N57" s="42">
        <v>1658</v>
      </c>
      <c r="O57" s="42">
        <v>1617</v>
      </c>
      <c r="P57" s="42">
        <v>1544</v>
      </c>
      <c r="Q57" s="42">
        <v>1833</v>
      </c>
      <c r="R57" s="42">
        <v>1811</v>
      </c>
      <c r="S57" s="46">
        <v>1730</v>
      </c>
      <c r="W57" s="57"/>
    </row>
    <row r="58" spans="1:23" s="46" customFormat="1" ht="16.5" hidden="1" customHeight="1" x14ac:dyDescent="0.25">
      <c r="A58" s="42"/>
      <c r="B58" s="59"/>
      <c r="C58" s="89"/>
      <c r="D58" s="42" t="str">
        <f>CONCATENATE("lm(%,@",E62,"C)")</f>
        <v>lm(%,@25C)</v>
      </c>
      <c r="E58" s="60">
        <f>E53*$E$62^2+E54*$E$62+E55</f>
        <v>1.0000002364496152</v>
      </c>
      <c r="G58" s="42">
        <f t="shared" si="5"/>
        <v>60</v>
      </c>
      <c r="H58" s="42">
        <v>12</v>
      </c>
      <c r="I58" s="42">
        <v>5</v>
      </c>
      <c r="J58" s="42" t="str">
        <f t="shared" si="6"/>
        <v>CLU034-1205B8</v>
      </c>
      <c r="K58" s="42">
        <v>35.700000000000003</v>
      </c>
      <c r="L58" s="42">
        <v>2252</v>
      </c>
      <c r="M58" s="42">
        <v>2209</v>
      </c>
      <c r="N58" s="42">
        <v>2164</v>
      </c>
      <c r="O58" s="42">
        <v>2110</v>
      </c>
      <c r="P58" s="42">
        <v>2015</v>
      </c>
      <c r="Q58" s="42">
        <v>2392</v>
      </c>
      <c r="R58" s="42">
        <v>2363</v>
      </c>
      <c r="S58" s="46">
        <v>2258</v>
      </c>
      <c r="W58" s="57"/>
    </row>
    <row r="59" spans="1:23" s="46" customFormat="1" ht="16.5" hidden="1" customHeight="1" x14ac:dyDescent="0.2">
      <c r="A59" s="42"/>
      <c r="B59" s="42"/>
      <c r="C59" s="42"/>
      <c r="D59" s="42"/>
      <c r="E59" s="42"/>
      <c r="G59" s="42">
        <f t="shared" si="5"/>
        <v>72</v>
      </c>
      <c r="H59" s="42">
        <v>12</v>
      </c>
      <c r="I59" s="42">
        <v>6</v>
      </c>
      <c r="J59" s="42" t="str">
        <f t="shared" si="6"/>
        <v>CLU034-1206B8</v>
      </c>
      <c r="K59" s="42">
        <v>35.700000000000003</v>
      </c>
      <c r="L59" s="42">
        <v>2666</v>
      </c>
      <c r="M59" s="42">
        <v>2615</v>
      </c>
      <c r="N59" s="42">
        <v>2562</v>
      </c>
      <c r="O59" s="42">
        <v>2498</v>
      </c>
      <c r="P59" s="42">
        <v>2386</v>
      </c>
      <c r="Q59" s="42">
        <v>2832</v>
      </c>
      <c r="R59" s="42">
        <v>2798</v>
      </c>
      <c r="S59" s="46">
        <v>2673</v>
      </c>
      <c r="W59" s="57"/>
    </row>
    <row r="60" spans="1:23" s="46" customFormat="1" ht="16.5" hidden="1" customHeight="1" x14ac:dyDescent="0.2">
      <c r="A60" s="42"/>
      <c r="B60" s="42"/>
      <c r="C60" s="42"/>
      <c r="D60" s="42" t="s">
        <v>49</v>
      </c>
      <c r="E60" s="61">
        <f>Simulator!G6</f>
        <v>1000</v>
      </c>
      <c r="G60" s="42">
        <f t="shared" si="5"/>
        <v>96</v>
      </c>
      <c r="H60" s="42">
        <v>12</v>
      </c>
      <c r="I60" s="42">
        <v>8</v>
      </c>
      <c r="J60" s="42" t="str">
        <f t="shared" si="6"/>
        <v>CLU034-1208B8</v>
      </c>
      <c r="K60" s="42">
        <v>35.700000000000003</v>
      </c>
      <c r="L60" s="42">
        <v>3475</v>
      </c>
      <c r="M60" s="42">
        <v>3408</v>
      </c>
      <c r="N60" s="42">
        <v>3340</v>
      </c>
      <c r="O60" s="42">
        <v>3256</v>
      </c>
      <c r="P60" s="42">
        <v>3110</v>
      </c>
      <c r="Q60" s="42">
        <v>3691</v>
      </c>
      <c r="R60" s="42">
        <v>3647</v>
      </c>
      <c r="S60" s="46">
        <v>3484</v>
      </c>
      <c r="W60" s="57"/>
    </row>
    <row r="61" spans="1:23" s="46" customFormat="1" ht="16.5" hidden="1" customHeight="1" x14ac:dyDescent="0.2">
      <c r="A61" s="42"/>
      <c r="B61" s="58"/>
      <c r="C61" s="58"/>
      <c r="D61" s="42"/>
      <c r="E61" s="42"/>
      <c r="G61" s="42">
        <f t="shared" si="5"/>
        <v>144</v>
      </c>
      <c r="H61" s="42">
        <v>12</v>
      </c>
      <c r="I61" s="42">
        <v>12</v>
      </c>
      <c r="J61" s="42" t="str">
        <f t="shared" si="6"/>
        <v>CLU044-1212B8</v>
      </c>
      <c r="K61" s="42">
        <v>35.700000000000003</v>
      </c>
      <c r="L61" s="42">
        <v>5389</v>
      </c>
      <c r="M61" s="42">
        <v>5285</v>
      </c>
      <c r="N61" s="42">
        <v>5179</v>
      </c>
      <c r="O61" s="42">
        <v>5050</v>
      </c>
      <c r="P61" s="42">
        <v>4822</v>
      </c>
      <c r="Q61" s="42">
        <v>5724</v>
      </c>
      <c r="R61" s="42">
        <v>5655</v>
      </c>
      <c r="S61" s="46">
        <v>5403</v>
      </c>
      <c r="W61" s="57"/>
    </row>
    <row r="62" spans="1:23" s="46" customFormat="1" ht="16.5" hidden="1" customHeight="1" x14ac:dyDescent="0.2">
      <c r="A62" s="42"/>
      <c r="B62" s="49"/>
      <c r="C62" s="62"/>
      <c r="D62" s="42" t="s">
        <v>73</v>
      </c>
      <c r="E62" s="63">
        <f>Simulator!L6</f>
        <v>25</v>
      </c>
      <c r="G62" s="42">
        <f t="shared" si="5"/>
        <v>216</v>
      </c>
      <c r="H62" s="42">
        <v>18</v>
      </c>
      <c r="I62" s="42">
        <v>12</v>
      </c>
      <c r="J62" s="42" t="str">
        <f t="shared" si="6"/>
        <v>CLU044-1812B8</v>
      </c>
      <c r="K62" s="42">
        <v>53.5</v>
      </c>
      <c r="L62" s="42">
        <v>7832</v>
      </c>
      <c r="M62" s="42">
        <v>7682</v>
      </c>
      <c r="N62" s="42">
        <v>7523</v>
      </c>
      <c r="O62" s="42">
        <v>7340</v>
      </c>
      <c r="P62" s="42">
        <v>7009</v>
      </c>
      <c r="Q62" s="42">
        <v>8320</v>
      </c>
      <c r="R62" s="42">
        <v>8220</v>
      </c>
      <c r="S62" s="46">
        <v>7853</v>
      </c>
      <c r="W62" s="57"/>
    </row>
    <row r="63" spans="1:23" s="46" customFormat="1" ht="16.5" hidden="1" customHeight="1" x14ac:dyDescent="0.2">
      <c r="A63" s="42"/>
      <c r="B63" s="42"/>
      <c r="C63" s="42"/>
      <c r="D63" s="42"/>
      <c r="E63" s="42"/>
      <c r="G63" s="42">
        <f t="shared" si="5"/>
        <v>324</v>
      </c>
      <c r="H63" s="42">
        <v>18</v>
      </c>
      <c r="I63" s="42">
        <v>18</v>
      </c>
      <c r="J63" s="42" t="str">
        <f t="shared" si="6"/>
        <v>CLU044-1818B8</v>
      </c>
      <c r="K63" s="42">
        <v>53.5</v>
      </c>
      <c r="L63" s="42">
        <v>11432</v>
      </c>
      <c r="M63" s="42">
        <v>11212</v>
      </c>
      <c r="N63" s="42">
        <v>10988</v>
      </c>
      <c r="O63" s="42">
        <v>10714</v>
      </c>
      <c r="P63" s="42">
        <v>10231</v>
      </c>
      <c r="Q63" s="42">
        <v>12144</v>
      </c>
      <c r="R63" s="42">
        <v>11998</v>
      </c>
      <c r="S63" s="46">
        <v>11463</v>
      </c>
      <c r="W63" s="57"/>
    </row>
    <row r="64" spans="1:23" s="46" customFormat="1" ht="16.5" hidden="1" customHeight="1" x14ac:dyDescent="0.2">
      <c r="A64" s="42"/>
      <c r="B64" s="42"/>
      <c r="C64" s="64"/>
      <c r="D64" s="65" t="s">
        <v>74</v>
      </c>
      <c r="E64" s="63">
        <f>E60/E58</f>
        <v>999.99976355044066</v>
      </c>
      <c r="G64" s="42">
        <f t="shared" si="5"/>
        <v>450</v>
      </c>
      <c r="H64" s="42">
        <v>18</v>
      </c>
      <c r="I64" s="42">
        <v>25</v>
      </c>
      <c r="J64" s="42" t="str">
        <f t="shared" si="6"/>
        <v>CLU054-1825B8</v>
      </c>
      <c r="K64" s="42">
        <v>53.5</v>
      </c>
      <c r="L64" s="42">
        <v>16402</v>
      </c>
      <c r="M64" s="42">
        <v>16086</v>
      </c>
      <c r="N64" s="42">
        <v>15764</v>
      </c>
      <c r="O64" s="42">
        <v>15371</v>
      </c>
      <c r="P64" s="42">
        <v>14678</v>
      </c>
      <c r="Q64" s="42">
        <v>17423</v>
      </c>
      <c r="R64" s="42">
        <v>17213</v>
      </c>
      <c r="S64" s="42">
        <v>16445</v>
      </c>
      <c r="T64" s="42"/>
      <c r="U64" s="42"/>
      <c r="V64" s="42"/>
      <c r="W64" s="57"/>
    </row>
    <row r="65" spans="1:23" s="46" customFormat="1" ht="16.5" hidden="1" customHeight="1" x14ac:dyDescent="0.2">
      <c r="A65" s="42"/>
      <c r="B65" s="42"/>
      <c r="C65" s="66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46" customFormat="1" ht="16.5" hidden="1" customHeight="1" x14ac:dyDescent="0.25">
      <c r="A66" s="42"/>
      <c r="B66" s="59"/>
      <c r="C66" s="64"/>
      <c r="G66" s="42"/>
      <c r="H66" s="42" t="s">
        <v>75</v>
      </c>
      <c r="I66" s="42"/>
      <c r="J66" s="42"/>
      <c r="K66" s="54" t="str">
        <f>HLOOKUP(Simulator!$C$6,Calculation!L$52:V$64,2,FALSE)</f>
        <v>4000K,70Min</v>
      </c>
      <c r="L66" s="54" t="s">
        <v>76</v>
      </c>
      <c r="M66" s="54" t="s">
        <v>77</v>
      </c>
      <c r="N66" s="67" t="s">
        <v>78</v>
      </c>
      <c r="O66" s="54" t="s">
        <v>71</v>
      </c>
      <c r="P66" s="68" t="s">
        <v>79</v>
      </c>
      <c r="Q66" s="67" t="s">
        <v>55</v>
      </c>
      <c r="R66" s="67"/>
      <c r="S66" s="67" t="s">
        <v>48</v>
      </c>
      <c r="T66" s="54" t="s">
        <v>80</v>
      </c>
      <c r="U66" s="69" t="s">
        <v>142</v>
      </c>
      <c r="V66" s="67" t="s">
        <v>81</v>
      </c>
      <c r="W66" s="42"/>
    </row>
    <row r="67" spans="1:23" s="46" customFormat="1" ht="16.5" hidden="1" customHeight="1" x14ac:dyDescent="0.25">
      <c r="A67" s="90" t="s">
        <v>134</v>
      </c>
      <c r="B67" s="50" t="s">
        <v>63</v>
      </c>
      <c r="C67" s="50" t="s">
        <v>64</v>
      </c>
      <c r="D67" s="54" t="s">
        <v>23</v>
      </c>
      <c r="E67" s="54" t="s">
        <v>21</v>
      </c>
      <c r="F67" s="54" t="s">
        <v>22</v>
      </c>
      <c r="H67" s="49">
        <f>K67/G54</f>
        <v>39.75</v>
      </c>
      <c r="I67" s="42"/>
      <c r="J67" s="42" t="str">
        <f>J54</f>
        <v>CLU024-1201B8</v>
      </c>
      <c r="K67" s="42">
        <f>HLOOKUP(Simulator!$C$6,Calculation!L$52:V$64,3,FALSE)</f>
        <v>477</v>
      </c>
      <c r="L67" s="62">
        <f>E$64/K67</f>
        <v>2.0964355629988272</v>
      </c>
      <c r="M67" s="49">
        <f t="shared" ref="M67:M76" si="7">C$53*$L67^3+C$54*$L67^2+C$55*$L67+C$56</f>
        <v>214.70348620417249</v>
      </c>
      <c r="N67" s="70">
        <f>M67*I54</f>
        <v>214.70348620417249</v>
      </c>
      <c r="O67" s="71">
        <f>(D$53*$M67^2+D$54*$M67+D$55)*K54</f>
        <v>38.951455192450886</v>
      </c>
      <c r="P67" s="72">
        <f t="shared" ref="P67:P76" si="8" xml:space="preserve"> (F$53*$E$62^2+F$54*$E$62+F$55)*O67</f>
        <v>38.951547986012201</v>
      </c>
      <c r="Q67" s="73">
        <f>N67*P67/1000</f>
        <v>8.3630331456459341</v>
      </c>
      <c r="R67" s="73"/>
      <c r="S67" s="73">
        <f>E$60/Q67</f>
        <v>119.57384152191629</v>
      </c>
      <c r="T67" s="42">
        <v>4.2</v>
      </c>
      <c r="U67" s="49">
        <f>Q67*T67</f>
        <v>35.124739211712928</v>
      </c>
      <c r="V67" s="73">
        <f>E$62+U67</f>
        <v>60.124739211712928</v>
      </c>
      <c r="W67" s="42"/>
    </row>
    <row r="68" spans="1:23" s="46" customFormat="1" ht="16.5" hidden="1" customHeight="1" x14ac:dyDescent="0.25">
      <c r="A68" s="54" t="s">
        <v>18</v>
      </c>
      <c r="B68" s="91">
        <f t="shared" ref="B68:F70" si="9">K46</f>
        <v>0</v>
      </c>
      <c r="C68" s="91">
        <f t="shared" si="9"/>
        <v>0</v>
      </c>
      <c r="D68" s="91">
        <f t="shared" si="9"/>
        <v>0</v>
      </c>
      <c r="E68" s="91">
        <f t="shared" si="9"/>
        <v>0</v>
      </c>
      <c r="F68" s="91">
        <f t="shared" si="9"/>
        <v>0</v>
      </c>
      <c r="H68" s="49">
        <f t="shared" ref="H68:H77" si="10">K68/G55</f>
        <v>39.75</v>
      </c>
      <c r="I68" s="42"/>
      <c r="J68" s="42" t="str">
        <f t="shared" ref="J68:J77" si="11">J55</f>
        <v>CLU024-1202B8</v>
      </c>
      <c r="K68" s="42">
        <f>HLOOKUP(Simulator!$C$6,Calculation!L$52:V$64,4,FALSE)</f>
        <v>954</v>
      </c>
      <c r="L68" s="62">
        <f t="shared" ref="L68:L75" si="12">E$64/K68</f>
        <v>1.0482177814994136</v>
      </c>
      <c r="M68" s="49">
        <f t="shared" si="7"/>
        <v>94.83356501976175</v>
      </c>
      <c r="N68" s="70">
        <f>M68*I55</f>
        <v>189.6671300395235</v>
      </c>
      <c r="O68" s="71">
        <f t="shared" ref="O68:O76" si="13">(D$53*$M68^2+D$54*$M68+D$55)*K55</f>
        <v>35.875884306500062</v>
      </c>
      <c r="P68" s="72">
        <f t="shared" si="8"/>
        <v>35.875969773167576</v>
      </c>
      <c r="Q68" s="73">
        <f>N68*P68/1000</f>
        <v>6.8044922242613897</v>
      </c>
      <c r="R68" s="73"/>
      <c r="S68" s="73">
        <f>E$60/Q68</f>
        <v>146.96173748784722</v>
      </c>
      <c r="T68" s="42">
        <v>2.4</v>
      </c>
      <c r="U68" s="49">
        <f t="shared" ref="U68:U76" si="14">Q68*T68</f>
        <v>16.330781338227336</v>
      </c>
      <c r="V68" s="73">
        <f t="shared" ref="V68:V76" si="15">E$62+U68</f>
        <v>41.330781338227339</v>
      </c>
      <c r="W68" s="42"/>
    </row>
    <row r="69" spans="1:23" s="46" customFormat="1" ht="16.5" hidden="1" customHeight="1" x14ac:dyDescent="0.25">
      <c r="A69" s="54" t="s">
        <v>19</v>
      </c>
      <c r="B69" s="91">
        <f t="shared" si="9"/>
        <v>0</v>
      </c>
      <c r="C69" s="91">
        <f t="shared" si="9"/>
        <v>0</v>
      </c>
      <c r="D69" s="91">
        <f t="shared" si="9"/>
        <v>0</v>
      </c>
      <c r="E69" s="91">
        <f t="shared" si="9"/>
        <v>0</v>
      </c>
      <c r="F69" s="91">
        <f t="shared" si="9"/>
        <v>0</v>
      </c>
      <c r="H69" s="49">
        <f t="shared" si="10"/>
        <v>38.583333333333336</v>
      </c>
      <c r="I69" s="42"/>
      <c r="J69" s="42" t="str">
        <f t="shared" si="11"/>
        <v>CLU024-1203B8</v>
      </c>
      <c r="K69" s="42">
        <f>HLOOKUP(Simulator!$C$6,Calculation!L$52:V$64,5,FALSE)</f>
        <v>1389</v>
      </c>
      <c r="L69" s="62">
        <f t="shared" si="12"/>
        <v>0.7199422343775671</v>
      </c>
      <c r="M69" s="49">
        <f t="shared" si="7"/>
        <v>62.754104669291287</v>
      </c>
      <c r="N69" s="70">
        <f t="shared" ref="N69:N76" si="16">M69*I56</f>
        <v>188.26231400787387</v>
      </c>
      <c r="O69" s="71">
        <f t="shared" si="13"/>
        <v>34.661031988273173</v>
      </c>
      <c r="P69" s="72">
        <f t="shared" si="8"/>
        <v>34.661114560813303</v>
      </c>
      <c r="Q69" s="73">
        <f t="shared" ref="Q69:Q76" si="17">N69*P69/1000</f>
        <v>6.5253816333107233</v>
      </c>
      <c r="R69" s="73"/>
      <c r="S69" s="73">
        <f t="shared" ref="S69:S76" si="18">E$60/Q69</f>
        <v>153.2477418478035</v>
      </c>
      <c r="T69" s="42">
        <v>1.7</v>
      </c>
      <c r="U69" s="49">
        <f t="shared" si="14"/>
        <v>11.09314877662823</v>
      </c>
      <c r="V69" s="73">
        <f t="shared" si="15"/>
        <v>36.093148776628226</v>
      </c>
      <c r="W69" s="42"/>
    </row>
    <row r="70" spans="1:23" s="46" customFormat="1" ht="16.5" hidden="1" customHeight="1" x14ac:dyDescent="0.25">
      <c r="A70" s="54" t="s">
        <v>20</v>
      </c>
      <c r="B70" s="91">
        <f t="shared" si="9"/>
        <v>0</v>
      </c>
      <c r="C70" s="91">
        <f t="shared" si="9"/>
        <v>0</v>
      </c>
      <c r="D70" s="91">
        <f t="shared" si="9"/>
        <v>0</v>
      </c>
      <c r="E70" s="91">
        <f t="shared" si="9"/>
        <v>0</v>
      </c>
      <c r="F70" s="91">
        <f t="shared" si="9"/>
        <v>0</v>
      </c>
      <c r="H70" s="49">
        <f t="shared" si="10"/>
        <v>37.729166666666664</v>
      </c>
      <c r="I70" s="42"/>
      <c r="J70" s="42" t="str">
        <f t="shared" si="11"/>
        <v>CLU024-1204B8</v>
      </c>
      <c r="K70" s="42">
        <f>HLOOKUP(Simulator!$C$6,Calculation!L$52:V$64,6,FALSE)</f>
        <v>1811</v>
      </c>
      <c r="L70" s="62">
        <f>E$64/K70</f>
        <v>0.5521809848428717</v>
      </c>
      <c r="M70" s="49">
        <f t="shared" si="7"/>
        <v>47.243247236182036</v>
      </c>
      <c r="N70" s="70">
        <f>M70*I57</f>
        <v>188.97298894472814</v>
      </c>
      <c r="O70" s="71">
        <f t="shared" si="13"/>
        <v>34.014306107097603</v>
      </c>
      <c r="P70" s="72">
        <f t="shared" si="8"/>
        <v>34.014387138950809</v>
      </c>
      <c r="Q70" s="73">
        <f t="shared" si="17"/>
        <v>6.4278004047706547</v>
      </c>
      <c r="R70" s="73"/>
      <c r="S70" s="73">
        <f t="shared" si="18"/>
        <v>155.57421466569016</v>
      </c>
      <c r="T70" s="42">
        <v>1.4</v>
      </c>
      <c r="U70" s="49">
        <f t="shared" si="14"/>
        <v>8.9989205666789154</v>
      </c>
      <c r="V70" s="73">
        <f t="shared" si="15"/>
        <v>33.998920566678919</v>
      </c>
      <c r="W70" s="42"/>
    </row>
    <row r="71" spans="1:23" s="46" customFormat="1" ht="16.5" hidden="1" customHeight="1" x14ac:dyDescent="0.25">
      <c r="A71" s="54" t="s">
        <v>101</v>
      </c>
      <c r="B71" s="91">
        <f>K49</f>
        <v>0</v>
      </c>
      <c r="C71" s="91">
        <f>L49</f>
        <v>0</v>
      </c>
      <c r="D71" s="42"/>
      <c r="E71" s="42"/>
      <c r="H71" s="49">
        <f t="shared" si="10"/>
        <v>39.383333333333333</v>
      </c>
      <c r="I71" s="42"/>
      <c r="J71" s="42" t="str">
        <f t="shared" si="11"/>
        <v>CLU034-1205B8</v>
      </c>
      <c r="K71" s="42">
        <f>HLOOKUP(Simulator!$C$6,Calculation!L$52:V$64,7,FALSE)</f>
        <v>2363</v>
      </c>
      <c r="L71" s="62">
        <f t="shared" si="12"/>
        <v>0.42319075901415176</v>
      </c>
      <c r="M71" s="49">
        <f t="shared" si="7"/>
        <v>35.700386194443247</v>
      </c>
      <c r="N71" s="70">
        <f t="shared" si="16"/>
        <v>178.50193097221623</v>
      </c>
      <c r="O71" s="71">
        <f t="shared" si="13"/>
        <v>33.507927549010809</v>
      </c>
      <c r="P71" s="72">
        <f t="shared" si="8"/>
        <v>33.508007374524752</v>
      </c>
      <c r="Q71" s="73">
        <f t="shared" si="17"/>
        <v>5.9812440193839294</v>
      </c>
      <c r="R71" s="73"/>
      <c r="S71" s="73">
        <f t="shared" si="18"/>
        <v>167.18929987795423</v>
      </c>
      <c r="T71" s="42">
        <v>1.1000000000000001</v>
      </c>
      <c r="U71" s="49">
        <f t="shared" si="14"/>
        <v>6.5793684213223225</v>
      </c>
      <c r="V71" s="73">
        <f t="shared" si="15"/>
        <v>31.579368421322322</v>
      </c>
      <c r="W71" s="42"/>
    </row>
    <row r="72" spans="1:23" s="46" customFormat="1" ht="16.5" hidden="1" customHeight="1" x14ac:dyDescent="0.25">
      <c r="A72" s="42"/>
      <c r="B72" s="74"/>
      <c r="C72" s="74"/>
      <c r="D72" s="42"/>
      <c r="E72" s="42"/>
      <c r="H72" s="49">
        <f t="shared" si="10"/>
        <v>38.861111111111114</v>
      </c>
      <c r="I72" s="42"/>
      <c r="J72" s="42" t="str">
        <f t="shared" si="11"/>
        <v>CLU034-1206B8</v>
      </c>
      <c r="K72" s="42">
        <f>HLOOKUP(Simulator!$C$6,Calculation!L$52:V$64,8,FALSE)</f>
        <v>2798</v>
      </c>
      <c r="L72" s="62">
        <f t="shared" si="12"/>
        <v>0.35739805702303096</v>
      </c>
      <c r="M72" s="49">
        <f t="shared" si="7"/>
        <v>29.936732870006765</v>
      </c>
      <c r="N72" s="70">
        <f t="shared" si="16"/>
        <v>179.62039722004059</v>
      </c>
      <c r="O72" s="71">
        <f t="shared" si="13"/>
        <v>33.247062409959113</v>
      </c>
      <c r="P72" s="72">
        <f t="shared" si="8"/>
        <v>33.247141614017323</v>
      </c>
      <c r="Q72" s="73">
        <f t="shared" si="17"/>
        <v>5.9718647831407337</v>
      </c>
      <c r="R72" s="73"/>
      <c r="S72" s="73">
        <f t="shared" si="18"/>
        <v>167.45188250462667</v>
      </c>
      <c r="T72" s="42">
        <v>0.98</v>
      </c>
      <c r="U72" s="49">
        <f t="shared" si="14"/>
        <v>5.852427487477919</v>
      </c>
      <c r="V72" s="73">
        <f t="shared" si="15"/>
        <v>30.852427487477918</v>
      </c>
      <c r="W72" s="42"/>
    </row>
    <row r="73" spans="1:23" s="46" customFormat="1" ht="16.5" hidden="1" customHeight="1" x14ac:dyDescent="0.25">
      <c r="A73" s="42"/>
      <c r="B73" s="75"/>
      <c r="C73" s="76"/>
      <c r="D73" s="42" t="str">
        <f>CONCATENATE("lm(%,@",E77,"C)")</f>
        <v>lm(%,@25C)</v>
      </c>
      <c r="E73" s="77">
        <f>E68*$E$62^2+E69*$E$62+E70</f>
        <v>0</v>
      </c>
      <c r="H73" s="49">
        <f t="shared" si="10"/>
        <v>37.989583333333336</v>
      </c>
      <c r="I73" s="42"/>
      <c r="J73" s="42" t="str">
        <f t="shared" si="11"/>
        <v>CLU034-1208B8</v>
      </c>
      <c r="K73" s="42">
        <f>HLOOKUP(Simulator!$C$6,Calculation!L$52:V$64,9,FALSE)</f>
        <v>3647</v>
      </c>
      <c r="L73" s="62">
        <f t="shared" si="12"/>
        <v>0.27419790610102568</v>
      </c>
      <c r="M73" s="49">
        <f t="shared" si="7"/>
        <v>22.764683022440789</v>
      </c>
      <c r="N73" s="70">
        <f t="shared" si="16"/>
        <v>182.11746417952631</v>
      </c>
      <c r="O73" s="71">
        <f t="shared" si="13"/>
        <v>32.914996123915344</v>
      </c>
      <c r="P73" s="72">
        <f t="shared" si="8"/>
        <v>32.915074536896221</v>
      </c>
      <c r="Q73" s="73">
        <f t="shared" si="17"/>
        <v>5.9944099079396356</v>
      </c>
      <c r="R73" s="73"/>
      <c r="S73" s="73">
        <f t="shared" si="18"/>
        <v>166.82209180848534</v>
      </c>
      <c r="T73" s="42">
        <v>0.78</v>
      </c>
      <c r="U73" s="49">
        <f t="shared" si="14"/>
        <v>4.6756397281929161</v>
      </c>
      <c r="V73" s="73">
        <f t="shared" si="15"/>
        <v>29.675639728192916</v>
      </c>
      <c r="W73" s="42"/>
    </row>
    <row r="74" spans="1:23" s="46" customFormat="1" ht="16.5" hidden="1" customHeight="1" x14ac:dyDescent="0.25">
      <c r="A74" s="42"/>
      <c r="B74" s="42"/>
      <c r="C74" s="42"/>
      <c r="D74" s="42"/>
      <c r="E74" s="42"/>
      <c r="H74" s="49">
        <f t="shared" si="10"/>
        <v>39.270833333333336</v>
      </c>
      <c r="I74" s="42"/>
      <c r="J74" s="42" t="str">
        <f t="shared" si="11"/>
        <v>CLU044-1212B8</v>
      </c>
      <c r="K74" s="42">
        <f>HLOOKUP(Simulator!$C$6,Calculation!L$52:V$64,10,FALSE)</f>
        <v>5655</v>
      </c>
      <c r="L74" s="62">
        <f t="shared" si="12"/>
        <v>0.17683461778080295</v>
      </c>
      <c r="M74" s="49">
        <f t="shared" si="7"/>
        <v>14.532895853635207</v>
      </c>
      <c r="N74" s="70">
        <f t="shared" si="16"/>
        <v>174.39475024362247</v>
      </c>
      <c r="O74" s="71">
        <f t="shared" si="13"/>
        <v>32.523672641396551</v>
      </c>
      <c r="P74" s="72">
        <f t="shared" si="8"/>
        <v>32.523750122132419</v>
      </c>
      <c r="Q74" s="73">
        <f t="shared" si="17"/>
        <v>5.6719712795352688</v>
      </c>
      <c r="R74" s="73"/>
      <c r="S74" s="73">
        <f t="shared" si="18"/>
        <v>176.30554717511453</v>
      </c>
      <c r="T74" s="42">
        <v>0.52</v>
      </c>
      <c r="U74" s="49">
        <f t="shared" si="14"/>
        <v>2.9494250653583398</v>
      </c>
      <c r="V74" s="73">
        <f t="shared" si="15"/>
        <v>27.949425065358341</v>
      </c>
      <c r="W74" s="42"/>
    </row>
    <row r="75" spans="1:23" s="46" customFormat="1" ht="16.5" hidden="1" customHeight="1" x14ac:dyDescent="0.25">
      <c r="A75" s="42"/>
      <c r="B75" s="42"/>
      <c r="C75" s="42"/>
      <c r="D75" s="42" t="s">
        <v>49</v>
      </c>
      <c r="E75" s="61">
        <f>Simulator!G6</f>
        <v>1000</v>
      </c>
      <c r="H75" s="49">
        <f t="shared" si="10"/>
        <v>38.055555555555557</v>
      </c>
      <c r="I75" s="42"/>
      <c r="J75" s="42" t="str">
        <f t="shared" si="11"/>
        <v>CLU044-1812B8</v>
      </c>
      <c r="K75" s="42">
        <f>HLOOKUP(Simulator!$C$6,Calculation!L$52:V$64,11,FALSE)</f>
        <v>8220</v>
      </c>
      <c r="L75" s="62">
        <f t="shared" si="12"/>
        <v>0.12165447245139181</v>
      </c>
      <c r="M75" s="49">
        <f t="shared" si="7"/>
        <v>9.9428403031432779</v>
      </c>
      <c r="N75" s="70">
        <f t="shared" si="16"/>
        <v>119.31408363771934</v>
      </c>
      <c r="O75" s="71">
        <f t="shared" si="13"/>
        <v>48.405870856477499</v>
      </c>
      <c r="P75" s="72">
        <f t="shared" si="8"/>
        <v>48.40598617317422</v>
      </c>
      <c r="Q75" s="73">
        <f t="shared" si="17"/>
        <v>5.7755158828323951</v>
      </c>
      <c r="R75" s="73"/>
      <c r="S75" s="73">
        <f t="shared" si="18"/>
        <v>173.14470608114505</v>
      </c>
      <c r="T75" s="42">
        <v>0.39</v>
      </c>
      <c r="U75" s="49">
        <f t="shared" si="14"/>
        <v>2.2524511943046344</v>
      </c>
      <c r="V75" s="73">
        <f t="shared" si="15"/>
        <v>27.252451194304633</v>
      </c>
      <c r="W75" s="42"/>
    </row>
    <row r="76" spans="1:23" s="46" customFormat="1" ht="16.5" hidden="1" customHeight="1" x14ac:dyDescent="0.25">
      <c r="A76" s="42"/>
      <c r="B76" s="58"/>
      <c r="C76" s="58"/>
      <c r="D76" s="42"/>
      <c r="E76" s="42"/>
      <c r="H76" s="49">
        <f t="shared" si="10"/>
        <v>37.030864197530867</v>
      </c>
      <c r="I76" s="42"/>
      <c r="J76" s="42" t="str">
        <f t="shared" si="11"/>
        <v>CLU044-1818B8</v>
      </c>
      <c r="K76" s="42">
        <f>HLOOKUP(Simulator!$C$6,Calculation!L$52:V$64,12,FALSE)</f>
        <v>11998</v>
      </c>
      <c r="L76" s="62">
        <f>E$64/K76</f>
        <v>8.334720483000839E-2</v>
      </c>
      <c r="M76" s="49">
        <f t="shared" si="7"/>
        <v>6.7876938066687398</v>
      </c>
      <c r="N76" s="70">
        <f t="shared" si="16"/>
        <v>122.17848852003732</v>
      </c>
      <c r="O76" s="71">
        <f t="shared" si="13"/>
        <v>48.173280460423307</v>
      </c>
      <c r="P76" s="72">
        <f t="shared" si="8"/>
        <v>48.173395223022858</v>
      </c>
      <c r="Q76" s="73">
        <f t="shared" si="17"/>
        <v>5.885752615227319</v>
      </c>
      <c r="R76" s="73"/>
      <c r="S76" s="73">
        <f t="shared" si="18"/>
        <v>169.90180617052286</v>
      </c>
      <c r="T76" s="42">
        <v>0.26</v>
      </c>
      <c r="U76" s="49">
        <f t="shared" si="14"/>
        <v>1.530295679959103</v>
      </c>
      <c r="V76" s="73">
        <f t="shared" si="15"/>
        <v>26.530295679959103</v>
      </c>
      <c r="W76" s="42"/>
    </row>
    <row r="77" spans="1:23" s="46" customFormat="1" ht="16.5" hidden="1" customHeight="1" x14ac:dyDescent="0.25">
      <c r="A77" s="42"/>
      <c r="B77" s="49"/>
      <c r="C77" s="78"/>
      <c r="D77" s="42" t="s">
        <v>73</v>
      </c>
      <c r="E77" s="79">
        <f>Simulator!L6</f>
        <v>25</v>
      </c>
      <c r="H77" s="49">
        <f t="shared" si="10"/>
        <v>38.251111111111108</v>
      </c>
      <c r="I77" s="42"/>
      <c r="J77" s="42" t="str">
        <f t="shared" si="11"/>
        <v>CLU054-1825B8</v>
      </c>
      <c r="K77" s="42">
        <f>HLOOKUP(Simulator!$C$6,Calculation!L$52:V$64,13,FALSE)</f>
        <v>17213</v>
      </c>
      <c r="L77" s="62">
        <f>E$64/K77</f>
        <v>5.8095611662722396E-2</v>
      </c>
      <c r="M77" s="49">
        <f>C$53*$L77^3+C$54*$L77^2+C$55*$L77+C$56</f>
        <v>4.7217442646578673</v>
      </c>
      <c r="N77" s="70">
        <f>M77*I64</f>
        <v>118.04360661644668</v>
      </c>
      <c r="O77" s="71">
        <f>(D$53*$M77^2+D$54*$M77+D$55)*K64</f>
        <v>48.019684053287875</v>
      </c>
      <c r="P77" s="72">
        <f xml:space="preserve"> (F$53*$E$62^2+F$54*$E$62+F$55)*O77</f>
        <v>48.019798449976641</v>
      </c>
      <c r="Q77" s="73">
        <f>N77*P77/1000</f>
        <v>5.6684301980300988</v>
      </c>
      <c r="R77" s="73"/>
      <c r="S77" s="73">
        <f>E$60/Q77</f>
        <v>176.41568565976547</v>
      </c>
      <c r="T77" s="42">
        <v>0.25</v>
      </c>
      <c r="U77" s="49">
        <f>Q77*T77</f>
        <v>1.4171075495075247</v>
      </c>
      <c r="V77" s="73">
        <f>E$77+U77</f>
        <v>26.417107549507524</v>
      </c>
      <c r="W77" s="42"/>
    </row>
    <row r="78" spans="1:23" s="46" customFormat="1" ht="16.5" hidden="1" customHeight="1" x14ac:dyDescent="0.2">
      <c r="A78" s="42"/>
      <c r="B78" s="59"/>
      <c r="C78" s="64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6" customFormat="1" ht="16.5" hidden="1" customHeight="1" x14ac:dyDescent="0.25">
      <c r="A79" s="42"/>
      <c r="B79" s="59"/>
      <c r="C79" s="64"/>
      <c r="D79" s="65" t="s">
        <v>74</v>
      </c>
      <c r="E79" s="80" t="e">
        <f>E75/E73</f>
        <v>#DIV/0!</v>
      </c>
      <c r="F79" s="42"/>
      <c r="G79" s="42"/>
      <c r="H79" s="42"/>
      <c r="I79" s="42"/>
      <c r="J79" s="42"/>
      <c r="K79" s="42"/>
      <c r="L79" s="42"/>
      <c r="M79" s="42"/>
      <c r="N79" s="42"/>
      <c r="O79" s="71"/>
      <c r="P79" s="67"/>
      <c r="Q79" s="48"/>
      <c r="R79" s="48"/>
      <c r="S79" s="48"/>
      <c r="T79" s="48"/>
      <c r="U79" s="42"/>
      <c r="V79" s="42"/>
      <c r="W79" s="42"/>
    </row>
    <row r="80" spans="1:23" s="46" customFormat="1" ht="16.5" hidden="1" customHeight="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71"/>
      <c r="P80" s="67" t="s">
        <v>103</v>
      </c>
      <c r="Q80" s="67" t="s">
        <v>10</v>
      </c>
      <c r="R80" s="67"/>
      <c r="S80" s="67"/>
      <c r="T80" s="67"/>
      <c r="U80" s="42"/>
      <c r="V80" s="42"/>
      <c r="W80" s="42"/>
    </row>
    <row r="81" spans="1:23" s="46" customFormat="1" ht="16.5" hidden="1" customHeight="1" x14ac:dyDescent="0.25">
      <c r="A81" s="42"/>
      <c r="C81" s="92"/>
      <c r="D81" s="92"/>
      <c r="E81" s="92"/>
      <c r="F81" s="92"/>
      <c r="G81" s="42"/>
      <c r="H81" s="42"/>
      <c r="I81" s="42"/>
      <c r="J81" s="42"/>
      <c r="K81" s="49"/>
      <c r="L81" s="62"/>
      <c r="M81" s="42"/>
      <c r="N81" s="42"/>
      <c r="O81" s="71"/>
      <c r="P81" s="48"/>
      <c r="Q81" s="81">
        <f>C37</f>
        <v>5</v>
      </c>
      <c r="R81" s="81"/>
      <c r="S81" s="48"/>
      <c r="T81" s="48"/>
      <c r="U81" s="42"/>
      <c r="V81" s="42"/>
      <c r="W81" s="42"/>
    </row>
    <row r="82" spans="1:23" s="46" customFormat="1" ht="16.5" hidden="1" customHeight="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9"/>
      <c r="L82" s="62"/>
      <c r="M82" s="42"/>
      <c r="N82" s="42"/>
      <c r="O82" s="71"/>
      <c r="P82" s="48"/>
      <c r="Q82" s="48"/>
      <c r="R82" s="48"/>
      <c r="S82" s="48"/>
      <c r="T82" s="48"/>
      <c r="U82" s="42"/>
      <c r="V82" s="42"/>
      <c r="W82" s="42"/>
    </row>
    <row r="83" spans="1:23" s="46" customFormat="1" ht="16.5" hidden="1" customHeight="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9"/>
      <c r="L83" s="62"/>
      <c r="M83" s="42"/>
      <c r="N83" s="42"/>
      <c r="O83" s="71"/>
      <c r="P83" s="67" t="s">
        <v>104</v>
      </c>
      <c r="Q83" s="67" t="s">
        <v>9</v>
      </c>
      <c r="R83" s="67"/>
      <c r="S83" s="67" t="s">
        <v>10</v>
      </c>
      <c r="T83" s="48"/>
      <c r="U83" s="42"/>
      <c r="V83" s="42"/>
      <c r="W83" s="42"/>
    </row>
    <row r="84" spans="1:23" s="46" customFormat="1" ht="16.5" hidden="1" customHeight="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9"/>
      <c r="L84" s="62"/>
      <c r="M84" s="42"/>
      <c r="N84" s="42"/>
      <c r="O84" s="71"/>
      <c r="P84" s="48"/>
      <c r="Q84" s="48">
        <f>$C$39</f>
        <v>100</v>
      </c>
      <c r="R84" s="48"/>
      <c r="S84" s="48">
        <f>$D$39</f>
        <v>-40</v>
      </c>
      <c r="T84" s="48"/>
      <c r="U84" s="42"/>
      <c r="V84" s="42"/>
      <c r="W84" s="42"/>
    </row>
    <row r="85" spans="1:23" s="46" customFormat="1" ht="16.5" hidden="1" customHeight="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9"/>
      <c r="L85" s="62"/>
      <c r="M85" s="42"/>
      <c r="N85" s="42"/>
      <c r="O85" s="71"/>
      <c r="T85" s="48"/>
      <c r="U85" s="42"/>
      <c r="V85" s="42"/>
      <c r="W85" s="42"/>
    </row>
    <row r="86" spans="1:23" s="46" customFormat="1" ht="16.5" hidden="1" customHeigh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9"/>
      <c r="L86" s="62"/>
      <c r="M86" s="42"/>
      <c r="N86" s="42"/>
      <c r="O86" s="71"/>
      <c r="P86" s="67" t="s">
        <v>12</v>
      </c>
      <c r="Q86" s="67" t="s">
        <v>9</v>
      </c>
      <c r="R86" s="67"/>
      <c r="S86" s="67" t="s">
        <v>10</v>
      </c>
      <c r="T86" s="48"/>
      <c r="U86" s="42"/>
      <c r="V86" s="42"/>
      <c r="W86" s="42"/>
    </row>
    <row r="87" spans="1:23" s="46" customFormat="1" ht="16.5" hidden="1" customHeight="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9"/>
      <c r="M87" s="62"/>
      <c r="N87" s="42"/>
      <c r="O87" s="71"/>
      <c r="P87" s="48"/>
      <c r="Q87" s="48">
        <f>$C$41</f>
        <v>140</v>
      </c>
      <c r="R87" s="48"/>
      <c r="S87" s="48">
        <f>$D$41</f>
        <v>-25</v>
      </c>
      <c r="T87" s="48"/>
      <c r="U87" s="42"/>
      <c r="V87" s="42"/>
      <c r="W87" s="42"/>
    </row>
    <row r="88" spans="1:23" s="46" customFormat="1" ht="16.5" hidden="1" customHeigh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9"/>
      <c r="M88" s="62"/>
      <c r="N88" s="42"/>
      <c r="O88" s="71"/>
      <c r="P88" s="48"/>
      <c r="Q88" s="48"/>
      <c r="R88" s="48"/>
      <c r="S88" s="48"/>
      <c r="T88" s="48"/>
      <c r="U88" s="42"/>
      <c r="V88" s="42"/>
      <c r="W88" s="42"/>
    </row>
    <row r="89" spans="1:23" s="46" customFormat="1" ht="16.5" hidden="1" customHeigh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9"/>
      <c r="M89" s="62"/>
      <c r="N89" s="42"/>
      <c r="O89" s="71"/>
      <c r="P89" s="48"/>
      <c r="Q89" s="67" t="s">
        <v>104</v>
      </c>
      <c r="R89" s="67" t="s">
        <v>11</v>
      </c>
      <c r="S89" s="67"/>
      <c r="T89" s="67"/>
      <c r="U89" s="67"/>
      <c r="V89" s="67" t="s">
        <v>12</v>
      </c>
      <c r="W89" s="67" t="s">
        <v>81</v>
      </c>
    </row>
    <row r="90" spans="1:23" s="46" customFormat="1" ht="16.5" hidden="1" customHeigh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 t="s">
        <v>136</v>
      </c>
      <c r="M90" s="62"/>
      <c r="N90" s="49" t="s">
        <v>137</v>
      </c>
      <c r="O90" s="71"/>
      <c r="P90" s="48"/>
      <c r="Q90" s="67" t="s">
        <v>8</v>
      </c>
      <c r="R90" s="67" t="s">
        <v>60</v>
      </c>
      <c r="S90" s="67"/>
      <c r="T90" s="67" t="s">
        <v>61</v>
      </c>
      <c r="U90" s="67" t="s">
        <v>82</v>
      </c>
      <c r="V90" s="67" t="s">
        <v>8</v>
      </c>
      <c r="W90" s="67" t="s">
        <v>83</v>
      </c>
    </row>
    <row r="91" spans="1:23" s="46" customFormat="1" ht="16.5" hidden="1" customHeigh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9">
        <v>180</v>
      </c>
      <c r="M91" s="82">
        <f>L91</f>
        <v>180</v>
      </c>
      <c r="N91" s="83">
        <f t="shared" ref="N91:N101" si="19">IF(L91&gt;=M91,M91,L91)</f>
        <v>180</v>
      </c>
      <c r="O91" s="71"/>
      <c r="P91" s="42" t="str">
        <f>J67</f>
        <v>CLU024-1201B8</v>
      </c>
      <c r="Q91" s="48" t="b">
        <f>AND(S$84&lt;=$E$62,Q$84&gt;=$E$62)</f>
        <v>1</v>
      </c>
      <c r="R91" s="49">
        <f>Q$81*I54</f>
        <v>5</v>
      </c>
      <c r="S91" s="49"/>
      <c r="T91" s="49">
        <f>N91</f>
        <v>180</v>
      </c>
      <c r="U91" s="48" t="b">
        <f>AND(Q91,R91&lt;=N67,T91&gt;=N67)</f>
        <v>0</v>
      </c>
      <c r="V91" s="48" t="b">
        <f>AND(Q91,S$87&lt;V67,Q$87&gt;V67)</f>
        <v>1</v>
      </c>
      <c r="W91" s="48" t="b">
        <f>AND(U91,Q91,V91)</f>
        <v>0</v>
      </c>
    </row>
    <row r="92" spans="1:23" s="46" customFormat="1" ht="16.5" hidden="1" customHeight="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9">
        <v>360</v>
      </c>
      <c r="M92" s="82">
        <f>L92</f>
        <v>360</v>
      </c>
      <c r="N92" s="83">
        <f t="shared" si="19"/>
        <v>360</v>
      </c>
      <c r="O92" s="42"/>
      <c r="P92" s="42" t="str">
        <f t="shared" ref="P92:P101" si="20">J68</f>
        <v>CLU024-1202B8</v>
      </c>
      <c r="Q92" s="48" t="b">
        <f>AND(S$84&lt;=$E$62,Q$84&gt;=$E$62)</f>
        <v>1</v>
      </c>
      <c r="R92" s="49">
        <f t="shared" ref="R92:R101" si="21">Q$81*I55</f>
        <v>10</v>
      </c>
      <c r="S92" s="49"/>
      <c r="T92" s="49">
        <f t="shared" ref="T92:T101" si="22">N92</f>
        <v>360</v>
      </c>
      <c r="U92" s="48" t="b">
        <f t="shared" ref="U92:U101" si="23">AND(Q92,R92&lt;=N68,T92&gt;=N68)</f>
        <v>1</v>
      </c>
      <c r="V92" s="48" t="b">
        <f t="shared" ref="V92:V101" si="24">AND(Q92,S$87&lt;V68,Q$87&gt;V68)</f>
        <v>1</v>
      </c>
      <c r="W92" s="48" t="b">
        <f t="shared" ref="W92:W101" si="25">AND(U92,Q92,V92)</f>
        <v>1</v>
      </c>
    </row>
    <row r="93" spans="1:23" s="46" customFormat="1" ht="16.5" hidden="1" customHeight="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9">
        <v>540</v>
      </c>
      <c r="M93" s="82">
        <f>L93</f>
        <v>540</v>
      </c>
      <c r="N93" s="83">
        <f t="shared" si="19"/>
        <v>540</v>
      </c>
      <c r="O93" s="42"/>
      <c r="P93" s="42" t="str">
        <f t="shared" si="20"/>
        <v>CLU024-1203B8</v>
      </c>
      <c r="Q93" s="48" t="b">
        <f t="shared" ref="Q93:Q101" si="26">AND(S$84&lt;=$E$62,Q$84&gt;=$E$62)</f>
        <v>1</v>
      </c>
      <c r="R93" s="49">
        <f t="shared" si="21"/>
        <v>15</v>
      </c>
      <c r="S93" s="49"/>
      <c r="T93" s="49">
        <f t="shared" si="22"/>
        <v>540</v>
      </c>
      <c r="U93" s="48" t="b">
        <f t="shared" si="23"/>
        <v>1</v>
      </c>
      <c r="V93" s="48" t="b">
        <f t="shared" si="24"/>
        <v>1</v>
      </c>
      <c r="W93" s="48" t="b">
        <f t="shared" si="25"/>
        <v>1</v>
      </c>
    </row>
    <row r="94" spans="1:23" s="46" customFormat="1" ht="16.5" hidden="1" customHeigh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9">
        <v>720</v>
      </c>
      <c r="M94" s="46">
        <f>(-200*E62/15)+(5560/3)</f>
        <v>1520</v>
      </c>
      <c r="N94" s="83">
        <f t="shared" si="19"/>
        <v>720</v>
      </c>
      <c r="O94" s="42"/>
      <c r="P94" s="42" t="str">
        <f t="shared" si="20"/>
        <v>CLU024-1204B8</v>
      </c>
      <c r="Q94" s="48" t="b">
        <f t="shared" si="26"/>
        <v>1</v>
      </c>
      <c r="R94" s="49">
        <f t="shared" si="21"/>
        <v>20</v>
      </c>
      <c r="S94" s="49"/>
      <c r="T94" s="49">
        <f t="shared" si="22"/>
        <v>720</v>
      </c>
      <c r="U94" s="48" t="b">
        <f t="shared" si="23"/>
        <v>1</v>
      </c>
      <c r="V94" s="48" t="b">
        <f t="shared" si="24"/>
        <v>1</v>
      </c>
      <c r="W94" s="48" t="b">
        <f t="shared" si="25"/>
        <v>1</v>
      </c>
    </row>
    <row r="95" spans="1:23" s="46" customFormat="1" ht="16.5" hidden="1" customHeight="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>
        <v>900</v>
      </c>
      <c r="M95" s="82">
        <f>L95</f>
        <v>900</v>
      </c>
      <c r="N95" s="83">
        <f t="shared" si="19"/>
        <v>900</v>
      </c>
      <c r="O95" s="42"/>
      <c r="P95" s="42" t="str">
        <f t="shared" si="20"/>
        <v>CLU034-1205B8</v>
      </c>
      <c r="Q95" s="48" t="b">
        <f t="shared" si="26"/>
        <v>1</v>
      </c>
      <c r="R95" s="49">
        <f t="shared" si="21"/>
        <v>25</v>
      </c>
      <c r="S95" s="49"/>
      <c r="T95" s="49">
        <f t="shared" si="22"/>
        <v>900</v>
      </c>
      <c r="U95" s="48" t="b">
        <f t="shared" si="23"/>
        <v>1</v>
      </c>
      <c r="V95" s="48" t="b">
        <f t="shared" si="24"/>
        <v>1</v>
      </c>
      <c r="W95" s="48" t="b">
        <f t="shared" si="25"/>
        <v>1</v>
      </c>
    </row>
    <row r="96" spans="1:23" s="46" customFormat="1" ht="16.5" hidden="1" customHeight="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>
        <v>1080</v>
      </c>
      <c r="M96" s="46">
        <f>(E62*-4)+1420</f>
        <v>1320</v>
      </c>
      <c r="N96" s="83">
        <f t="shared" si="19"/>
        <v>1080</v>
      </c>
      <c r="O96" s="42"/>
      <c r="P96" s="42" t="str">
        <f t="shared" si="20"/>
        <v>CLU034-1206B8</v>
      </c>
      <c r="Q96" s="48" t="b">
        <f t="shared" si="26"/>
        <v>1</v>
      </c>
      <c r="R96" s="49">
        <f t="shared" si="21"/>
        <v>30</v>
      </c>
      <c r="S96" s="49"/>
      <c r="T96" s="49">
        <f t="shared" si="22"/>
        <v>1080</v>
      </c>
      <c r="U96" s="48" t="b">
        <f t="shared" si="23"/>
        <v>1</v>
      </c>
      <c r="V96" s="48" t="b">
        <f t="shared" si="24"/>
        <v>1</v>
      </c>
      <c r="W96" s="48" t="b">
        <f t="shared" si="25"/>
        <v>1</v>
      </c>
    </row>
    <row r="97" spans="1:23" s="46" customFormat="1" ht="16.5" hidden="1" customHeight="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>
        <v>1440</v>
      </c>
      <c r="M97" s="46">
        <f>(-32*E62/3)+(7040/3)</f>
        <v>2080</v>
      </c>
      <c r="N97" s="83">
        <f t="shared" si="19"/>
        <v>1440</v>
      </c>
      <c r="O97" s="42"/>
      <c r="P97" s="42" t="str">
        <f t="shared" si="20"/>
        <v>CLU034-1208B8</v>
      </c>
      <c r="Q97" s="48" t="b">
        <f t="shared" si="26"/>
        <v>1</v>
      </c>
      <c r="R97" s="49">
        <f t="shared" si="21"/>
        <v>40</v>
      </c>
      <c r="S97" s="49"/>
      <c r="T97" s="49">
        <f t="shared" si="22"/>
        <v>1440</v>
      </c>
      <c r="U97" s="48" t="b">
        <f t="shared" si="23"/>
        <v>1</v>
      </c>
      <c r="V97" s="48" t="b">
        <f t="shared" si="24"/>
        <v>1</v>
      </c>
      <c r="W97" s="48" t="b">
        <f t="shared" si="25"/>
        <v>1</v>
      </c>
    </row>
    <row r="98" spans="1:23" s="46" customFormat="1" ht="16.5" hidden="1" customHeight="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>
        <v>2160</v>
      </c>
      <c r="M98" s="46">
        <f>-16*E62+3520</f>
        <v>3120</v>
      </c>
      <c r="N98" s="83">
        <f t="shared" si="19"/>
        <v>2160</v>
      </c>
      <c r="O98" s="42"/>
      <c r="P98" s="42" t="str">
        <f t="shared" si="20"/>
        <v>CLU044-1212B8</v>
      </c>
      <c r="Q98" s="48" t="b">
        <f t="shared" si="26"/>
        <v>1</v>
      </c>
      <c r="R98" s="49">
        <f t="shared" si="21"/>
        <v>60</v>
      </c>
      <c r="S98" s="49"/>
      <c r="T98" s="49">
        <f t="shared" si="22"/>
        <v>2160</v>
      </c>
      <c r="U98" s="48" t="b">
        <f t="shared" si="23"/>
        <v>1</v>
      </c>
      <c r="V98" s="48" t="b">
        <f t="shared" si="24"/>
        <v>1</v>
      </c>
      <c r="W98" s="48" t="b">
        <f t="shared" si="25"/>
        <v>1</v>
      </c>
    </row>
    <row r="99" spans="1:23" s="46" customFormat="1" ht="16.5" hidden="1" customHeight="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>
        <v>2160</v>
      </c>
      <c r="M99" s="46">
        <f>-28*E62+4540</f>
        <v>3840</v>
      </c>
      <c r="N99" s="83">
        <f t="shared" si="19"/>
        <v>2160</v>
      </c>
      <c r="O99" s="42"/>
      <c r="P99" s="42" t="str">
        <f t="shared" si="20"/>
        <v>CLU044-1812B8</v>
      </c>
      <c r="Q99" s="48" t="b">
        <f t="shared" si="26"/>
        <v>1</v>
      </c>
      <c r="R99" s="49">
        <f t="shared" si="21"/>
        <v>60</v>
      </c>
      <c r="S99" s="49"/>
      <c r="T99" s="49">
        <f t="shared" si="22"/>
        <v>2160</v>
      </c>
      <c r="U99" s="48" t="b">
        <f t="shared" si="23"/>
        <v>1</v>
      </c>
      <c r="V99" s="48" t="b">
        <f t="shared" si="24"/>
        <v>1</v>
      </c>
      <c r="W99" s="48" t="b">
        <f t="shared" si="25"/>
        <v>1</v>
      </c>
    </row>
    <row r="100" spans="1:23" s="46" customFormat="1" ht="16.5" hidden="1" customHeight="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>
        <v>2160</v>
      </c>
      <c r="M100" s="82">
        <f>L100</f>
        <v>2160</v>
      </c>
      <c r="N100" s="83">
        <f t="shared" si="19"/>
        <v>2160</v>
      </c>
      <c r="O100" s="42"/>
      <c r="P100" s="42" t="str">
        <f t="shared" si="20"/>
        <v>CLU044-1818B8</v>
      </c>
      <c r="Q100" s="48" t="b">
        <f t="shared" si="26"/>
        <v>1</v>
      </c>
      <c r="R100" s="49">
        <f t="shared" si="21"/>
        <v>90</v>
      </c>
      <c r="S100" s="49"/>
      <c r="T100" s="49">
        <f t="shared" si="22"/>
        <v>2160</v>
      </c>
      <c r="U100" s="48" t="b">
        <f t="shared" si="23"/>
        <v>1</v>
      </c>
      <c r="V100" s="48" t="b">
        <f t="shared" si="24"/>
        <v>1</v>
      </c>
      <c r="W100" s="48" t="b">
        <f t="shared" si="25"/>
        <v>1</v>
      </c>
    </row>
    <row r="101" spans="1:23" s="46" customFormat="1" ht="16.5" hidden="1" customHeight="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>
        <v>3000</v>
      </c>
      <c r="M101" s="82">
        <f>L101</f>
        <v>3000</v>
      </c>
      <c r="N101" s="83">
        <f t="shared" si="19"/>
        <v>3000</v>
      </c>
      <c r="O101" s="42"/>
      <c r="P101" s="42" t="str">
        <f t="shared" si="20"/>
        <v>CLU054-1825B8</v>
      </c>
      <c r="Q101" s="48" t="b">
        <f t="shared" si="26"/>
        <v>1</v>
      </c>
      <c r="R101" s="49">
        <f t="shared" si="21"/>
        <v>125</v>
      </c>
      <c r="S101" s="49"/>
      <c r="T101" s="49">
        <f t="shared" si="22"/>
        <v>3000</v>
      </c>
      <c r="U101" s="48" t="b">
        <f t="shared" si="23"/>
        <v>0</v>
      </c>
      <c r="V101" s="48" t="b">
        <f t="shared" si="24"/>
        <v>1</v>
      </c>
      <c r="W101" s="48" t="b">
        <f t="shared" si="25"/>
        <v>0</v>
      </c>
    </row>
    <row r="102" spans="1:23" s="46" customFormat="1" ht="16.5" hidden="1" customHeight="1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s="46" customFormat="1" ht="16.5" hidden="1" customHeight="1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 t="s">
        <v>141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s="46" customFormat="1" ht="16.5" hidden="1" customHeight="1" x14ac:dyDescent="0.2">
      <c r="A104" s="50" t="s">
        <v>135</v>
      </c>
      <c r="B104" s="50" t="s">
        <v>63</v>
      </c>
      <c r="C104" s="50" t="s">
        <v>64</v>
      </c>
      <c r="D104" s="50" t="s">
        <v>65</v>
      </c>
      <c r="E104" s="50" t="s">
        <v>66</v>
      </c>
      <c r="F104" s="50" t="s">
        <v>67</v>
      </c>
      <c r="G104" s="42"/>
      <c r="H104" s="42"/>
      <c r="I104" s="42"/>
      <c r="J104" s="42"/>
      <c r="K104" s="54"/>
      <c r="L104" s="54">
        <v>1</v>
      </c>
      <c r="M104" s="54">
        <v>2</v>
      </c>
      <c r="N104" s="54">
        <v>3</v>
      </c>
      <c r="O104" s="54">
        <v>4</v>
      </c>
      <c r="P104" s="54">
        <v>5</v>
      </c>
      <c r="Q104" s="54">
        <v>6</v>
      </c>
      <c r="R104" s="54">
        <v>7</v>
      </c>
      <c r="S104" s="54">
        <v>8</v>
      </c>
      <c r="T104" s="54">
        <v>9</v>
      </c>
      <c r="U104" s="54">
        <v>10</v>
      </c>
      <c r="V104" s="54">
        <v>11</v>
      </c>
      <c r="W104" s="42"/>
    </row>
    <row r="105" spans="1:23" s="46" customFormat="1" ht="16.5" hidden="1" customHeight="1" x14ac:dyDescent="0.2">
      <c r="A105" s="50" t="s">
        <v>68</v>
      </c>
      <c r="B105" s="51">
        <f t="shared" ref="B105:F107" si="27">C46</f>
        <v>1.4959930582130001E-8</v>
      </c>
      <c r="C105" s="51">
        <f t="shared" si="27"/>
        <v>0.95475185345640101</v>
      </c>
      <c r="D105" s="51">
        <f t="shared" si="27"/>
        <v>-2.2513262441456201E-6</v>
      </c>
      <c r="E105" s="51">
        <f t="shared" si="27"/>
        <v>-6.0226564939269899E-6</v>
      </c>
      <c r="F105" s="51">
        <f t="shared" si="27"/>
        <v>2.4213782839521899E-6</v>
      </c>
      <c r="G105" s="42"/>
      <c r="H105" s="84" t="s">
        <v>6</v>
      </c>
      <c r="I105" s="85" t="s">
        <v>7</v>
      </c>
      <c r="J105" s="42"/>
      <c r="K105" s="54" t="s">
        <v>71</v>
      </c>
      <c r="L105" s="54" t="s">
        <v>72</v>
      </c>
      <c r="M105" s="54" t="s">
        <v>0</v>
      </c>
      <c r="N105" s="54" t="s">
        <v>1</v>
      </c>
      <c r="O105" s="54" t="s">
        <v>2</v>
      </c>
      <c r="P105" s="54" t="s">
        <v>3</v>
      </c>
      <c r="Q105" s="54" t="s">
        <v>4</v>
      </c>
      <c r="R105" s="54" t="s">
        <v>96</v>
      </c>
      <c r="S105" s="54" t="s">
        <v>97</v>
      </c>
      <c r="T105" s="54"/>
      <c r="U105" s="54"/>
      <c r="V105" s="54"/>
      <c r="W105" s="42"/>
    </row>
    <row r="106" spans="1:23" s="46" customFormat="1" ht="16.5" hidden="1" customHeight="1" x14ac:dyDescent="0.2">
      <c r="A106" s="50" t="s">
        <v>69</v>
      </c>
      <c r="B106" s="51">
        <f t="shared" si="27"/>
        <v>-1.5312212071371099E-5</v>
      </c>
      <c r="C106" s="51">
        <f t="shared" si="27"/>
        <v>8.3951765166930805</v>
      </c>
      <c r="D106" s="51">
        <f t="shared" si="27"/>
        <v>1.41556832492483E-3</v>
      </c>
      <c r="E106" s="51">
        <f t="shared" si="27"/>
        <v>-1.79489204966721E-3</v>
      </c>
      <c r="F106" s="51">
        <f t="shared" si="27"/>
        <v>-9.2480077764239799E-4</v>
      </c>
      <c r="G106" s="42">
        <f>H106*I106</f>
        <v>12</v>
      </c>
      <c r="H106" s="42">
        <f>H54</f>
        <v>12</v>
      </c>
      <c r="I106" s="42">
        <f>I54</f>
        <v>1</v>
      </c>
      <c r="J106" s="42" t="s">
        <v>84</v>
      </c>
      <c r="K106" s="42">
        <f t="shared" ref="K106:Q116" si="28">K54</f>
        <v>35.700000000000003</v>
      </c>
      <c r="L106" s="42">
        <f t="shared" si="28"/>
        <v>455</v>
      </c>
      <c r="M106" s="42">
        <f t="shared" si="28"/>
        <v>446</v>
      </c>
      <c r="N106" s="42">
        <f t="shared" si="28"/>
        <v>437</v>
      </c>
      <c r="O106" s="42">
        <f t="shared" si="28"/>
        <v>426</v>
      </c>
      <c r="P106" s="42">
        <f t="shared" si="28"/>
        <v>407</v>
      </c>
      <c r="Q106" s="42">
        <f t="shared" si="28"/>
        <v>483</v>
      </c>
      <c r="R106" s="42">
        <f t="shared" ref="R106:S106" si="29">R54</f>
        <v>477</v>
      </c>
      <c r="S106" s="42">
        <f t="shared" si="29"/>
        <v>456</v>
      </c>
      <c r="T106" s="42"/>
      <c r="U106" s="42"/>
      <c r="V106" s="42"/>
      <c r="W106" s="42"/>
    </row>
    <row r="107" spans="1:23" s="46" customFormat="1" ht="16.5" hidden="1" customHeight="1" x14ac:dyDescent="0.2">
      <c r="A107" s="50" t="s">
        <v>70</v>
      </c>
      <c r="B107" s="51">
        <f t="shared" si="27"/>
        <v>1.2367473621430199E-2</v>
      </c>
      <c r="C107" s="51">
        <f t="shared" si="27"/>
        <v>80.612706454674495</v>
      </c>
      <c r="D107" s="51">
        <f t="shared" si="27"/>
        <v>0.89093042931594402</v>
      </c>
      <c r="E107" s="51">
        <f t="shared" si="27"/>
        <v>1.0486366979999999</v>
      </c>
      <c r="F107" s="51">
        <f t="shared" si="27"/>
        <v>1.0216090403010001</v>
      </c>
      <c r="G107" s="42">
        <f t="shared" ref="G107:G116" si="30">H107*I107</f>
        <v>24</v>
      </c>
      <c r="H107" s="42">
        <f t="shared" ref="H107:I116" si="31">H55</f>
        <v>12</v>
      </c>
      <c r="I107" s="42">
        <f t="shared" si="31"/>
        <v>2</v>
      </c>
      <c r="J107" s="42" t="s">
        <v>85</v>
      </c>
      <c r="K107" s="42">
        <f t="shared" si="28"/>
        <v>35.700000000000003</v>
      </c>
      <c r="L107" s="42">
        <f t="shared" si="28"/>
        <v>909</v>
      </c>
      <c r="M107" s="42">
        <f t="shared" si="28"/>
        <v>892</v>
      </c>
      <c r="N107" s="42">
        <f t="shared" si="28"/>
        <v>874</v>
      </c>
      <c r="O107" s="42">
        <f t="shared" si="28"/>
        <v>852</v>
      </c>
      <c r="P107" s="42">
        <f t="shared" si="28"/>
        <v>814</v>
      </c>
      <c r="Q107" s="42">
        <f t="shared" si="28"/>
        <v>966</v>
      </c>
      <c r="R107" s="42">
        <f t="shared" ref="R107:S107" si="32">R55</f>
        <v>954</v>
      </c>
      <c r="S107" s="42">
        <f t="shared" si="32"/>
        <v>911</v>
      </c>
      <c r="W107" s="42"/>
    </row>
    <row r="108" spans="1:23" s="46" customFormat="1" ht="16.5" hidden="1" customHeight="1" x14ac:dyDescent="0.2">
      <c r="A108" s="54" t="s">
        <v>101</v>
      </c>
      <c r="B108" s="51">
        <f>C49</f>
        <v>4.02206763050306E-4</v>
      </c>
      <c r="C108" s="51">
        <f>D49</f>
        <v>9.9780080160052805E-3</v>
      </c>
      <c r="D108" s="42"/>
      <c r="E108" s="42"/>
      <c r="F108" s="42"/>
      <c r="G108" s="42">
        <f t="shared" si="30"/>
        <v>36</v>
      </c>
      <c r="H108" s="42">
        <f t="shared" si="31"/>
        <v>12</v>
      </c>
      <c r="I108" s="42">
        <f t="shared" si="31"/>
        <v>3</v>
      </c>
      <c r="J108" s="42" t="s">
        <v>86</v>
      </c>
      <c r="K108" s="42">
        <f t="shared" si="28"/>
        <v>35.700000000000003</v>
      </c>
      <c r="L108" s="42">
        <f t="shared" si="28"/>
        <v>1324</v>
      </c>
      <c r="M108" s="42">
        <f t="shared" si="28"/>
        <v>1298</v>
      </c>
      <c r="N108" s="42">
        <f t="shared" si="28"/>
        <v>1272</v>
      </c>
      <c r="O108" s="42">
        <f t="shared" si="28"/>
        <v>1240</v>
      </c>
      <c r="P108" s="42">
        <f t="shared" si="28"/>
        <v>1185</v>
      </c>
      <c r="Q108" s="42">
        <f t="shared" si="28"/>
        <v>1406</v>
      </c>
      <c r="R108" s="42">
        <f t="shared" ref="R108:S108" si="33">R56</f>
        <v>1389</v>
      </c>
      <c r="S108" s="42">
        <f t="shared" si="33"/>
        <v>1327</v>
      </c>
      <c r="W108" s="42"/>
    </row>
    <row r="109" spans="1:23" s="46" customFormat="1" ht="16.5" hidden="1" customHeight="1" x14ac:dyDescent="0.2">
      <c r="A109" s="42"/>
      <c r="B109" s="42"/>
      <c r="C109" s="42"/>
      <c r="D109" s="42" t="s">
        <v>98</v>
      </c>
      <c r="E109" s="61">
        <f>Simulator!G6</f>
        <v>1000</v>
      </c>
      <c r="G109" s="42">
        <f t="shared" si="30"/>
        <v>48</v>
      </c>
      <c r="H109" s="42">
        <f t="shared" si="31"/>
        <v>12</v>
      </c>
      <c r="I109" s="42">
        <f t="shared" si="31"/>
        <v>4</v>
      </c>
      <c r="J109" s="42" t="s">
        <v>87</v>
      </c>
      <c r="K109" s="42">
        <f t="shared" si="28"/>
        <v>35.700000000000003</v>
      </c>
      <c r="L109" s="42">
        <f t="shared" si="28"/>
        <v>1725</v>
      </c>
      <c r="M109" s="42">
        <f t="shared" si="28"/>
        <v>1692</v>
      </c>
      <c r="N109" s="42">
        <f t="shared" si="28"/>
        <v>1658</v>
      </c>
      <c r="O109" s="42">
        <f t="shared" si="28"/>
        <v>1617</v>
      </c>
      <c r="P109" s="42">
        <f t="shared" si="28"/>
        <v>1544</v>
      </c>
      <c r="Q109" s="42">
        <f t="shared" si="28"/>
        <v>1833</v>
      </c>
      <c r="R109" s="42">
        <f t="shared" ref="R109:S109" si="34">R57</f>
        <v>1811</v>
      </c>
      <c r="S109" s="42">
        <f t="shared" si="34"/>
        <v>1730</v>
      </c>
      <c r="W109" s="42"/>
    </row>
    <row r="110" spans="1:23" s="46" customFormat="1" ht="16.5" hidden="1" customHeight="1" x14ac:dyDescent="0.2">
      <c r="A110" s="42"/>
      <c r="B110" s="58"/>
      <c r="C110" s="58"/>
      <c r="D110" s="42"/>
      <c r="E110" s="42"/>
      <c r="G110" s="42">
        <f t="shared" si="30"/>
        <v>60</v>
      </c>
      <c r="H110" s="42">
        <f t="shared" si="31"/>
        <v>12</v>
      </c>
      <c r="I110" s="42">
        <f t="shared" si="31"/>
        <v>5</v>
      </c>
      <c r="J110" s="42" t="s">
        <v>88</v>
      </c>
      <c r="K110" s="42">
        <f t="shared" si="28"/>
        <v>35.700000000000003</v>
      </c>
      <c r="L110" s="42">
        <f t="shared" si="28"/>
        <v>2252</v>
      </c>
      <c r="M110" s="42">
        <f t="shared" si="28"/>
        <v>2209</v>
      </c>
      <c r="N110" s="42">
        <f t="shared" si="28"/>
        <v>2164</v>
      </c>
      <c r="O110" s="42">
        <f t="shared" si="28"/>
        <v>2110</v>
      </c>
      <c r="P110" s="42">
        <f t="shared" si="28"/>
        <v>2015</v>
      </c>
      <c r="Q110" s="42">
        <f t="shared" si="28"/>
        <v>2392</v>
      </c>
      <c r="R110" s="42">
        <f t="shared" ref="R110:S110" si="35">R58</f>
        <v>2363</v>
      </c>
      <c r="S110" s="42">
        <f t="shared" si="35"/>
        <v>2258</v>
      </c>
      <c r="W110" s="42"/>
    </row>
    <row r="111" spans="1:23" s="46" customFormat="1" ht="16.5" hidden="1" customHeight="1" x14ac:dyDescent="0.2">
      <c r="A111" s="42"/>
      <c r="B111" s="49"/>
      <c r="C111" s="62"/>
      <c r="D111" s="42" t="s">
        <v>99</v>
      </c>
      <c r="E111" s="79">
        <f>Simulator!L6</f>
        <v>25</v>
      </c>
      <c r="G111" s="42">
        <f t="shared" si="30"/>
        <v>72</v>
      </c>
      <c r="H111" s="42">
        <f t="shared" si="31"/>
        <v>12</v>
      </c>
      <c r="I111" s="42">
        <f t="shared" si="31"/>
        <v>6</v>
      </c>
      <c r="J111" s="42" t="s">
        <v>89</v>
      </c>
      <c r="K111" s="42">
        <f t="shared" si="28"/>
        <v>35.700000000000003</v>
      </c>
      <c r="L111" s="42">
        <f t="shared" si="28"/>
        <v>2666</v>
      </c>
      <c r="M111" s="42">
        <f t="shared" si="28"/>
        <v>2615</v>
      </c>
      <c r="N111" s="42">
        <f t="shared" si="28"/>
        <v>2562</v>
      </c>
      <c r="O111" s="42">
        <f t="shared" si="28"/>
        <v>2498</v>
      </c>
      <c r="P111" s="42">
        <f t="shared" si="28"/>
        <v>2386</v>
      </c>
      <c r="Q111" s="42">
        <f t="shared" si="28"/>
        <v>2832</v>
      </c>
      <c r="R111" s="42">
        <f t="shared" ref="R111:S111" si="36">R59</f>
        <v>2798</v>
      </c>
      <c r="S111" s="42">
        <f t="shared" si="36"/>
        <v>2673</v>
      </c>
      <c r="W111" s="42"/>
    </row>
    <row r="112" spans="1:23" s="46" customFormat="1" ht="16.5" hidden="1" customHeight="1" x14ac:dyDescent="0.2">
      <c r="A112" s="42"/>
      <c r="B112" s="42"/>
      <c r="C112" s="42"/>
      <c r="D112" s="42"/>
      <c r="E112" s="42"/>
      <c r="G112" s="42">
        <f t="shared" si="30"/>
        <v>96</v>
      </c>
      <c r="H112" s="42">
        <f t="shared" si="31"/>
        <v>12</v>
      </c>
      <c r="I112" s="42">
        <f t="shared" si="31"/>
        <v>8</v>
      </c>
      <c r="J112" s="42" t="s">
        <v>90</v>
      </c>
      <c r="K112" s="42">
        <f t="shared" si="28"/>
        <v>35.700000000000003</v>
      </c>
      <c r="L112" s="42">
        <f t="shared" si="28"/>
        <v>3475</v>
      </c>
      <c r="M112" s="42">
        <f t="shared" si="28"/>
        <v>3408</v>
      </c>
      <c r="N112" s="42">
        <f t="shared" si="28"/>
        <v>3340</v>
      </c>
      <c r="O112" s="42">
        <f t="shared" si="28"/>
        <v>3256</v>
      </c>
      <c r="P112" s="42">
        <f t="shared" si="28"/>
        <v>3110</v>
      </c>
      <c r="Q112" s="42">
        <f t="shared" si="28"/>
        <v>3691</v>
      </c>
      <c r="R112" s="42">
        <f t="shared" ref="R112:S112" si="37">R60</f>
        <v>3647</v>
      </c>
      <c r="S112" s="42">
        <f t="shared" si="37"/>
        <v>3484</v>
      </c>
      <c r="W112" s="42"/>
    </row>
    <row r="113" spans="1:23" s="46" customFormat="1" ht="16.5" hidden="1" customHeight="1" x14ac:dyDescent="0.2">
      <c r="A113" s="42"/>
      <c r="B113" s="42"/>
      <c r="C113" s="66"/>
      <c r="G113" s="42">
        <f t="shared" si="30"/>
        <v>144</v>
      </c>
      <c r="H113" s="42">
        <f t="shared" si="31"/>
        <v>12</v>
      </c>
      <c r="I113" s="42">
        <f t="shared" si="31"/>
        <v>12</v>
      </c>
      <c r="J113" s="42" t="s">
        <v>91</v>
      </c>
      <c r="K113" s="42">
        <f t="shared" si="28"/>
        <v>35.700000000000003</v>
      </c>
      <c r="L113" s="42">
        <f t="shared" si="28"/>
        <v>5389</v>
      </c>
      <c r="M113" s="42">
        <f t="shared" si="28"/>
        <v>5285</v>
      </c>
      <c r="N113" s="42">
        <f t="shared" si="28"/>
        <v>5179</v>
      </c>
      <c r="O113" s="42">
        <f t="shared" si="28"/>
        <v>5050</v>
      </c>
      <c r="P113" s="42">
        <f t="shared" si="28"/>
        <v>4822</v>
      </c>
      <c r="Q113" s="42">
        <f t="shared" si="28"/>
        <v>5724</v>
      </c>
      <c r="R113" s="42">
        <f t="shared" ref="R113:S113" si="38">R61</f>
        <v>5655</v>
      </c>
      <c r="S113" s="42">
        <f t="shared" si="38"/>
        <v>5403</v>
      </c>
      <c r="W113" s="42"/>
    </row>
    <row r="114" spans="1:23" s="46" customFormat="1" ht="16.5" hidden="1" customHeight="1" x14ac:dyDescent="0.2">
      <c r="A114" s="90" t="s">
        <v>134</v>
      </c>
      <c r="B114" s="50" t="s">
        <v>63</v>
      </c>
      <c r="C114" s="50" t="s">
        <v>64</v>
      </c>
      <c r="D114" s="54" t="s">
        <v>23</v>
      </c>
      <c r="E114" s="54" t="s">
        <v>21</v>
      </c>
      <c r="F114" s="54" t="s">
        <v>22</v>
      </c>
      <c r="G114" s="42">
        <f t="shared" si="30"/>
        <v>216</v>
      </c>
      <c r="H114" s="42">
        <f t="shared" si="31"/>
        <v>18</v>
      </c>
      <c r="I114" s="42">
        <f t="shared" si="31"/>
        <v>12</v>
      </c>
      <c r="J114" s="42" t="s">
        <v>92</v>
      </c>
      <c r="K114" s="42">
        <f t="shared" si="28"/>
        <v>53.5</v>
      </c>
      <c r="L114" s="42">
        <f t="shared" si="28"/>
        <v>7832</v>
      </c>
      <c r="M114" s="42">
        <f t="shared" si="28"/>
        <v>7682</v>
      </c>
      <c r="N114" s="42">
        <f t="shared" si="28"/>
        <v>7523</v>
      </c>
      <c r="O114" s="42">
        <f t="shared" si="28"/>
        <v>7340</v>
      </c>
      <c r="P114" s="42">
        <f t="shared" si="28"/>
        <v>7009</v>
      </c>
      <c r="Q114" s="42">
        <f t="shared" si="28"/>
        <v>8320</v>
      </c>
      <c r="R114" s="42">
        <f t="shared" ref="R114:S114" si="39">R62</f>
        <v>8220</v>
      </c>
      <c r="S114" s="42">
        <f t="shared" si="39"/>
        <v>7853</v>
      </c>
      <c r="W114" s="42"/>
    </row>
    <row r="115" spans="1:23" s="46" customFormat="1" ht="16.5" hidden="1" customHeight="1" x14ac:dyDescent="0.2">
      <c r="A115" s="54" t="s">
        <v>18</v>
      </c>
      <c r="B115" s="91">
        <f t="shared" ref="B115:F117" si="40">K46</f>
        <v>0</v>
      </c>
      <c r="C115" s="91">
        <f t="shared" si="40"/>
        <v>0</v>
      </c>
      <c r="D115" s="91">
        <f t="shared" si="40"/>
        <v>0</v>
      </c>
      <c r="E115" s="91">
        <f t="shared" si="40"/>
        <v>0</v>
      </c>
      <c r="F115" s="91">
        <f t="shared" si="40"/>
        <v>0</v>
      </c>
      <c r="G115" s="42">
        <f t="shared" si="30"/>
        <v>324</v>
      </c>
      <c r="H115" s="42">
        <f t="shared" si="31"/>
        <v>18</v>
      </c>
      <c r="I115" s="42">
        <f t="shared" si="31"/>
        <v>18</v>
      </c>
      <c r="J115" s="42" t="s">
        <v>93</v>
      </c>
      <c r="K115" s="42">
        <f t="shared" si="28"/>
        <v>53.5</v>
      </c>
      <c r="L115" s="42">
        <f t="shared" si="28"/>
        <v>11432</v>
      </c>
      <c r="M115" s="42">
        <f t="shared" si="28"/>
        <v>11212</v>
      </c>
      <c r="N115" s="42">
        <f t="shared" si="28"/>
        <v>10988</v>
      </c>
      <c r="O115" s="42">
        <f t="shared" si="28"/>
        <v>10714</v>
      </c>
      <c r="P115" s="42">
        <f t="shared" si="28"/>
        <v>10231</v>
      </c>
      <c r="Q115" s="42">
        <f t="shared" si="28"/>
        <v>12144</v>
      </c>
      <c r="R115" s="42">
        <f t="shared" ref="R115:S115" si="41">R63</f>
        <v>11998</v>
      </c>
      <c r="S115" s="42">
        <f t="shared" si="41"/>
        <v>11463</v>
      </c>
      <c r="W115" s="42"/>
    </row>
    <row r="116" spans="1:23" s="46" customFormat="1" ht="16.5" hidden="1" customHeight="1" x14ac:dyDescent="0.2">
      <c r="A116" s="54" t="s">
        <v>19</v>
      </c>
      <c r="B116" s="91">
        <f t="shared" si="40"/>
        <v>0</v>
      </c>
      <c r="C116" s="91">
        <f t="shared" si="40"/>
        <v>0</v>
      </c>
      <c r="D116" s="91">
        <f t="shared" si="40"/>
        <v>0</v>
      </c>
      <c r="E116" s="91">
        <f t="shared" si="40"/>
        <v>0</v>
      </c>
      <c r="F116" s="91">
        <f t="shared" si="40"/>
        <v>0</v>
      </c>
      <c r="G116" s="42">
        <f t="shared" si="30"/>
        <v>450</v>
      </c>
      <c r="H116" s="42">
        <f t="shared" si="31"/>
        <v>18</v>
      </c>
      <c r="I116" s="42">
        <f t="shared" si="31"/>
        <v>25</v>
      </c>
      <c r="J116" s="42" t="s">
        <v>94</v>
      </c>
      <c r="K116" s="42">
        <f t="shared" si="28"/>
        <v>53.5</v>
      </c>
      <c r="L116" s="42">
        <f t="shared" si="28"/>
        <v>16402</v>
      </c>
      <c r="M116" s="42">
        <f t="shared" si="28"/>
        <v>16086</v>
      </c>
      <c r="N116" s="42">
        <f t="shared" si="28"/>
        <v>15764</v>
      </c>
      <c r="O116" s="42">
        <f t="shared" si="28"/>
        <v>15371</v>
      </c>
      <c r="P116" s="42">
        <f t="shared" si="28"/>
        <v>14678</v>
      </c>
      <c r="Q116" s="42">
        <f t="shared" si="28"/>
        <v>17423</v>
      </c>
      <c r="R116" s="42">
        <f t="shared" ref="R116:S116" si="42">R64</f>
        <v>17213</v>
      </c>
      <c r="S116" s="42">
        <f t="shared" si="42"/>
        <v>16445</v>
      </c>
      <c r="T116" s="42"/>
      <c r="U116" s="42"/>
      <c r="V116" s="42"/>
      <c r="W116" s="42"/>
    </row>
    <row r="117" spans="1:23" s="46" customFormat="1" ht="16.5" hidden="1" customHeight="1" x14ac:dyDescent="0.2">
      <c r="A117" s="54" t="s">
        <v>20</v>
      </c>
      <c r="B117" s="91">
        <f t="shared" si="40"/>
        <v>0</v>
      </c>
      <c r="C117" s="91">
        <f t="shared" si="40"/>
        <v>0</v>
      </c>
      <c r="D117" s="91">
        <f t="shared" si="40"/>
        <v>0</v>
      </c>
      <c r="E117" s="91">
        <f t="shared" si="40"/>
        <v>0</v>
      </c>
      <c r="F117" s="91">
        <f t="shared" si="40"/>
        <v>0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46" customFormat="1" ht="16.5" hidden="1" customHeight="1" x14ac:dyDescent="0.25">
      <c r="A118" s="54" t="s">
        <v>101</v>
      </c>
      <c r="B118" s="91">
        <f>K49</f>
        <v>0</v>
      </c>
      <c r="C118" s="91">
        <f>L49</f>
        <v>0</v>
      </c>
      <c r="D118" s="42"/>
      <c r="E118" s="42"/>
      <c r="G118" s="42"/>
      <c r="H118" s="42" t="s">
        <v>75</v>
      </c>
      <c r="I118" s="42"/>
      <c r="J118" s="42"/>
      <c r="K118" s="54" t="str">
        <f>HLOOKUP(Simulator!$C$6,Calculation!L$104:V$116,2,FALSE)</f>
        <v>5,000K,90Min</v>
      </c>
      <c r="L118" s="54" t="s">
        <v>77</v>
      </c>
      <c r="M118" s="54" t="s">
        <v>49</v>
      </c>
      <c r="N118" s="68" t="s">
        <v>74</v>
      </c>
      <c r="O118" s="54" t="s">
        <v>71</v>
      </c>
      <c r="P118" s="68" t="s">
        <v>79</v>
      </c>
      <c r="Q118" s="67" t="s">
        <v>55</v>
      </c>
      <c r="R118" s="67"/>
      <c r="S118" s="67" t="s">
        <v>48</v>
      </c>
      <c r="T118" s="54" t="s">
        <v>80</v>
      </c>
      <c r="U118" s="69" t="s">
        <v>142</v>
      </c>
      <c r="V118" s="67" t="s">
        <v>13</v>
      </c>
      <c r="W118" s="42"/>
    </row>
    <row r="119" spans="1:23" s="46" customFormat="1" ht="16.5" hidden="1" customHeight="1" x14ac:dyDescent="0.25">
      <c r="A119" s="42"/>
      <c r="B119" s="42"/>
      <c r="C119" s="42"/>
      <c r="D119" s="42" t="s">
        <v>98</v>
      </c>
      <c r="E119" s="61">
        <f>Simulator!G6</f>
        <v>1000</v>
      </c>
      <c r="G119" s="42"/>
      <c r="H119" s="49">
        <f t="shared" ref="H119:H129" si="43">K119/G106</f>
        <v>39.75</v>
      </c>
      <c r="I119" s="42"/>
      <c r="J119" s="42" t="s">
        <v>84</v>
      </c>
      <c r="K119" s="42">
        <f>HLOOKUP(Simulator!$C$6,Calculation!L$104:V$116,3,FALSE)</f>
        <v>477</v>
      </c>
      <c r="L119" s="71">
        <f>E$109/I106</f>
        <v>1000</v>
      </c>
      <c r="M119" s="71">
        <f>(B$105*$L119^3+B$106*$L119^2+B$107*$L119+B$108)*K119</f>
        <v>5731.4384996801764</v>
      </c>
      <c r="N119" s="72">
        <f t="shared" ref="N119:N127" si="44">(E$105*$E$111^2+E$106*$E$111+E$107)*M119</f>
        <v>5731.4398548766039</v>
      </c>
      <c r="O119" s="71">
        <f>(D$105*$L119^2+D$106*$L119+D$107)*K106</f>
        <v>1.9696586103969982</v>
      </c>
      <c r="P119" s="72">
        <f t="shared" ref="P119:P128" si="45">(F$105*$E$111^2+F$106*$E$111+F$107)*O119</f>
        <v>1.9696633026899082</v>
      </c>
      <c r="Q119" s="73">
        <f t="shared" ref="Q119:Q128" si="46">E$75*P119/1000</f>
        <v>1.9696633026899082</v>
      </c>
      <c r="R119" s="73"/>
      <c r="S119" s="73">
        <f t="shared" ref="S119:S129" si="47">N119/Q119</f>
        <v>2909.8576630073544</v>
      </c>
      <c r="T119" s="42">
        <f t="shared" ref="T119:T129" si="48">T67</f>
        <v>4.2</v>
      </c>
      <c r="U119" s="49">
        <f t="shared" ref="U119:U129" si="49">Q119*T119</f>
        <v>8.2725858712976148</v>
      </c>
      <c r="V119" s="73">
        <f>E$111+U119</f>
        <v>33.272585871297615</v>
      </c>
      <c r="W119" s="42"/>
    </row>
    <row r="120" spans="1:23" s="46" customFormat="1" ht="16.5" hidden="1" customHeight="1" x14ac:dyDescent="0.25">
      <c r="A120" s="42"/>
      <c r="B120" s="58"/>
      <c r="C120" s="58"/>
      <c r="D120" s="42"/>
      <c r="E120" s="42"/>
      <c r="G120" s="42"/>
      <c r="H120" s="49">
        <f t="shared" si="43"/>
        <v>39.75</v>
      </c>
      <c r="I120" s="42"/>
      <c r="J120" s="42" t="s">
        <v>85</v>
      </c>
      <c r="K120" s="42">
        <f>HLOOKUP(Simulator!$C$6,Calculation!L$104:V$116,4,FALSE)</f>
        <v>954</v>
      </c>
      <c r="L120" s="71">
        <f t="shared" ref="L120:L128" si="50">E$109/I107</f>
        <v>500</v>
      </c>
      <c r="M120" s="71">
        <f t="shared" ref="M120:M128" si="51">(B$105*$L120^3+B$106*$L120^2+B$107*$L120+B$108)*K120</f>
        <v>4031.6777655711508</v>
      </c>
      <c r="N120" s="72">
        <f t="shared" si="44"/>
        <v>4031.6787188598073</v>
      </c>
      <c r="O120" s="71">
        <f t="shared" ref="O120:O128" si="52">(D$105*$L120^2+D$106*$L120+D$107)*K107</f>
        <v>36.981024197487763</v>
      </c>
      <c r="P120" s="72">
        <f t="shared" si="45"/>
        <v>36.981112296916123</v>
      </c>
      <c r="Q120" s="73">
        <f t="shared" si="46"/>
        <v>36.981112296916123</v>
      </c>
      <c r="R120" s="73"/>
      <c r="S120" s="73">
        <f t="shared" si="47"/>
        <v>109.01994203121932</v>
      </c>
      <c r="T120" s="42">
        <f t="shared" si="48"/>
        <v>2.4</v>
      </c>
      <c r="U120" s="49">
        <f t="shared" si="49"/>
        <v>88.754669512598696</v>
      </c>
      <c r="V120" s="73">
        <f t="shared" ref="V120:V128" si="53">E$111+U120</f>
        <v>113.7546695125987</v>
      </c>
      <c r="W120" s="42"/>
    </row>
    <row r="121" spans="1:23" s="46" customFormat="1" ht="16.5" hidden="1" customHeight="1" x14ac:dyDescent="0.25">
      <c r="A121" s="42"/>
      <c r="B121" s="49"/>
      <c r="C121" s="78"/>
      <c r="D121" s="42" t="s">
        <v>99</v>
      </c>
      <c r="E121" s="79">
        <f>Simulator!L6</f>
        <v>25</v>
      </c>
      <c r="G121" s="42"/>
      <c r="H121" s="49">
        <f t="shared" si="43"/>
        <v>38.583333333333336</v>
      </c>
      <c r="I121" s="42"/>
      <c r="J121" s="42" t="s">
        <v>86</v>
      </c>
      <c r="K121" s="42">
        <f>HLOOKUP(Simulator!$C$6,Calculation!L$104:V$116,5,FALSE)</f>
        <v>1389</v>
      </c>
      <c r="L121" s="71">
        <f t="shared" si="50"/>
        <v>333.33333333333331</v>
      </c>
      <c r="M121" s="71">
        <f t="shared" si="51"/>
        <v>4133.1195399595854</v>
      </c>
      <c r="N121" s="72">
        <f t="shared" si="44"/>
        <v>4133.1205172341106</v>
      </c>
      <c r="O121" s="71">
        <f t="shared" si="52"/>
        <v>39.721218624740388</v>
      </c>
      <c r="P121" s="72">
        <f t="shared" si="45"/>
        <v>39.721313252099435</v>
      </c>
      <c r="Q121" s="73">
        <f t="shared" si="46"/>
        <v>39.721313252099435</v>
      </c>
      <c r="R121" s="73"/>
      <c r="S121" s="73">
        <f t="shared" si="47"/>
        <v>104.05296750896468</v>
      </c>
      <c r="T121" s="42">
        <f t="shared" si="48"/>
        <v>1.7</v>
      </c>
      <c r="U121" s="49">
        <f t="shared" si="49"/>
        <v>67.526232528569039</v>
      </c>
      <c r="V121" s="73">
        <f t="shared" si="53"/>
        <v>92.526232528569039</v>
      </c>
      <c r="W121" s="42"/>
    </row>
    <row r="122" spans="1:23" s="46" customFormat="1" ht="16.5" hidden="1" customHeight="1" x14ac:dyDescent="0.25">
      <c r="A122" s="42"/>
      <c r="B122" s="59"/>
      <c r="C122" s="64"/>
      <c r="D122" s="42"/>
      <c r="E122" s="42"/>
      <c r="F122" s="42"/>
      <c r="G122" s="42"/>
      <c r="H122" s="49">
        <f t="shared" si="43"/>
        <v>37.729166666666664</v>
      </c>
      <c r="I122" s="42"/>
      <c r="J122" s="42" t="s">
        <v>87</v>
      </c>
      <c r="K122" s="42">
        <f>HLOOKUP(Simulator!$C$6,Calculation!L$104:V$116,6,FALSE)</f>
        <v>1811</v>
      </c>
      <c r="L122" s="71">
        <f t="shared" si="50"/>
        <v>250</v>
      </c>
      <c r="M122" s="71">
        <f t="shared" si="51"/>
        <v>4290.2703604133012</v>
      </c>
      <c r="N122" s="72">
        <f t="shared" si="44"/>
        <v>4290.2713748460774</v>
      </c>
      <c r="O122" s="71">
        <f t="shared" si="52"/>
        <v>39.4168919442834</v>
      </c>
      <c r="P122" s="72">
        <f t="shared" si="45"/>
        <v>39.416985846648828</v>
      </c>
      <c r="Q122" s="73">
        <f t="shared" si="46"/>
        <v>39.416985846648828</v>
      </c>
      <c r="R122" s="73"/>
      <c r="S122" s="73">
        <f t="shared" si="47"/>
        <v>108.84321270878782</v>
      </c>
      <c r="T122" s="42">
        <f t="shared" si="48"/>
        <v>1.4</v>
      </c>
      <c r="U122" s="49">
        <f t="shared" si="49"/>
        <v>55.183780185308358</v>
      </c>
      <c r="V122" s="73">
        <f t="shared" si="53"/>
        <v>80.183780185308365</v>
      </c>
      <c r="W122" s="42"/>
    </row>
    <row r="123" spans="1:23" s="46" customFormat="1" ht="16.5" hidden="1" customHeight="1" x14ac:dyDescent="0.25">
      <c r="A123" s="42"/>
      <c r="B123" s="42"/>
      <c r="C123" s="42"/>
      <c r="D123" s="42"/>
      <c r="E123" s="42"/>
      <c r="F123" s="42"/>
      <c r="G123" s="42"/>
      <c r="H123" s="49">
        <f t="shared" si="43"/>
        <v>39.383333333333333</v>
      </c>
      <c r="I123" s="42"/>
      <c r="J123" s="42" t="s">
        <v>88</v>
      </c>
      <c r="K123" s="42">
        <f>HLOOKUP(Simulator!$C$6,Calculation!L$104:V$116,7,FALSE)</f>
        <v>2363</v>
      </c>
      <c r="L123" s="71">
        <f>E$109/I110</f>
        <v>200</v>
      </c>
      <c r="M123" s="71">
        <f t="shared" si="51"/>
        <v>4681.3106908075888</v>
      </c>
      <c r="N123" s="72">
        <f t="shared" si="44"/>
        <v>4681.3117977017</v>
      </c>
      <c r="O123" s="71">
        <f t="shared" si="52"/>
        <v>38.698480289902541</v>
      </c>
      <c r="P123" s="72">
        <f t="shared" si="45"/>
        <v>38.698572480804934</v>
      </c>
      <c r="Q123" s="73">
        <f t="shared" si="46"/>
        <v>38.698572480804934</v>
      </c>
      <c r="R123" s="73"/>
      <c r="S123" s="73">
        <f t="shared" si="47"/>
        <v>120.9685912839214</v>
      </c>
      <c r="T123" s="42">
        <f t="shared" si="48"/>
        <v>1.1000000000000001</v>
      </c>
      <c r="U123" s="49">
        <f t="shared" si="49"/>
        <v>42.568429728885434</v>
      </c>
      <c r="V123" s="73">
        <f t="shared" si="53"/>
        <v>67.568429728885434</v>
      </c>
      <c r="W123" s="42"/>
    </row>
    <row r="124" spans="1:23" s="46" customFormat="1" ht="16.5" hidden="1" customHeight="1" x14ac:dyDescent="0.25">
      <c r="A124" s="42"/>
      <c r="B124" s="42"/>
      <c r="C124" s="42"/>
      <c r="D124" s="42"/>
      <c r="E124" s="42"/>
      <c r="F124" s="42"/>
      <c r="G124" s="42"/>
      <c r="H124" s="49">
        <f t="shared" si="43"/>
        <v>38.861111111111114</v>
      </c>
      <c r="I124" s="42"/>
      <c r="J124" s="42" t="s">
        <v>89</v>
      </c>
      <c r="K124" s="42">
        <f>HLOOKUP(Simulator!$C$6,Calculation!L$104:V$116,8,FALSE)</f>
        <v>2798</v>
      </c>
      <c r="L124" s="71">
        <f t="shared" si="50"/>
        <v>166.66666666666666</v>
      </c>
      <c r="M124" s="71">
        <f t="shared" si="51"/>
        <v>4772.1779321806198</v>
      </c>
      <c r="N124" s="72">
        <f t="shared" si="44"/>
        <v>4772.1790605602555</v>
      </c>
      <c r="O124" s="71">
        <f t="shared" si="52"/>
        <v>37.99628266777087</v>
      </c>
      <c r="P124" s="72">
        <f t="shared" si="45"/>
        <v>37.996373185836703</v>
      </c>
      <c r="Q124" s="73">
        <f t="shared" si="46"/>
        <v>37.996373185836703</v>
      </c>
      <c r="R124" s="73"/>
      <c r="S124" s="73">
        <f t="shared" si="47"/>
        <v>125.59564664816757</v>
      </c>
      <c r="T124" s="42">
        <f t="shared" si="48"/>
        <v>0.98</v>
      </c>
      <c r="U124" s="49">
        <f t="shared" si="49"/>
        <v>37.236445722119967</v>
      </c>
      <c r="V124" s="73">
        <f t="shared" si="53"/>
        <v>62.236445722119967</v>
      </c>
      <c r="W124" s="42"/>
    </row>
    <row r="125" spans="1:23" s="46" customFormat="1" ht="16.5" hidden="1" customHeight="1" x14ac:dyDescent="0.25">
      <c r="A125" s="42"/>
      <c r="B125" s="42"/>
      <c r="C125" s="42"/>
      <c r="D125" s="42"/>
      <c r="E125" s="42"/>
      <c r="F125" s="42"/>
      <c r="G125" s="42"/>
      <c r="H125" s="49">
        <f t="shared" si="43"/>
        <v>37.989583333333336</v>
      </c>
      <c r="I125" s="42"/>
      <c r="J125" s="42" t="s">
        <v>90</v>
      </c>
      <c r="K125" s="42">
        <f>HLOOKUP(Simulator!$C$6,Calculation!L$104:V$116,9,FALSE)</f>
        <v>3647</v>
      </c>
      <c r="L125" s="71">
        <f t="shared" si="50"/>
        <v>125</v>
      </c>
      <c r="M125" s="71">
        <f t="shared" si="51"/>
        <v>4873.4923372630574</v>
      </c>
      <c r="N125" s="72">
        <f t="shared" si="44"/>
        <v>4873.4934895984452</v>
      </c>
      <c r="O125" s="71">
        <f t="shared" si="52"/>
        <v>36.867372055993783</v>
      </c>
      <c r="P125" s="72">
        <f t="shared" si="45"/>
        <v>36.867459884670083</v>
      </c>
      <c r="Q125" s="73">
        <f t="shared" si="46"/>
        <v>36.867459884670083</v>
      </c>
      <c r="R125" s="73"/>
      <c r="S125" s="73">
        <f t="shared" si="47"/>
        <v>132.18956512989658</v>
      </c>
      <c r="T125" s="42">
        <f t="shared" si="48"/>
        <v>0.78</v>
      </c>
      <c r="U125" s="49">
        <f t="shared" si="49"/>
        <v>28.756618710042666</v>
      </c>
      <c r="V125" s="73">
        <f t="shared" si="53"/>
        <v>53.756618710042666</v>
      </c>
      <c r="W125" s="42"/>
    </row>
    <row r="126" spans="1:23" s="46" customFormat="1" ht="16.5" hidden="1" customHeight="1" x14ac:dyDescent="0.25">
      <c r="A126" s="42"/>
      <c r="B126" s="42"/>
      <c r="C126" s="42"/>
      <c r="D126" s="42"/>
      <c r="E126" s="42"/>
      <c r="F126" s="42"/>
      <c r="G126" s="42"/>
      <c r="H126" s="49">
        <f t="shared" si="43"/>
        <v>39.270833333333336</v>
      </c>
      <c r="I126" s="42"/>
      <c r="J126" s="42" t="s">
        <v>91</v>
      </c>
      <c r="K126" s="42">
        <f>HLOOKUP(Simulator!$C$6,Calculation!L$104:V$116,10,FALSE)</f>
        <v>5655</v>
      </c>
      <c r="L126" s="71">
        <f t="shared" si="50"/>
        <v>83.333333333333329</v>
      </c>
      <c r="M126" s="71">
        <f t="shared" si="51"/>
        <v>5278.0805068386508</v>
      </c>
      <c r="N126" s="72">
        <f t="shared" si="44"/>
        <v>5278.0817548387558</v>
      </c>
      <c r="O126" s="71">
        <f t="shared" si="52"/>
        <v>35.459390795202808</v>
      </c>
      <c r="P126" s="72">
        <f t="shared" si="45"/>
        <v>35.459475269663074</v>
      </c>
      <c r="Q126" s="73">
        <f t="shared" si="46"/>
        <v>35.459475269663074</v>
      </c>
      <c r="R126" s="73"/>
      <c r="S126" s="73">
        <f t="shared" si="47"/>
        <v>148.84827580498222</v>
      </c>
      <c r="T126" s="42">
        <f t="shared" si="48"/>
        <v>0.52</v>
      </c>
      <c r="U126" s="49">
        <f t="shared" si="49"/>
        <v>18.438927140224799</v>
      </c>
      <c r="V126" s="73">
        <f t="shared" si="53"/>
        <v>43.438927140224799</v>
      </c>
      <c r="W126" s="42"/>
    </row>
    <row r="127" spans="1:23" s="46" customFormat="1" ht="16.5" hidden="1" customHeight="1" x14ac:dyDescent="0.25">
      <c r="A127" s="42"/>
      <c r="B127" s="42"/>
      <c r="C127" s="42"/>
      <c r="D127" s="42"/>
      <c r="E127" s="42"/>
      <c r="F127" s="42"/>
      <c r="G127" s="42"/>
      <c r="H127" s="49">
        <f t="shared" si="43"/>
        <v>38.055555555555557</v>
      </c>
      <c r="I127" s="42"/>
      <c r="J127" s="42" t="s">
        <v>92</v>
      </c>
      <c r="K127" s="42">
        <f>HLOOKUP(Simulator!$C$6,Calculation!L$104:V$116,11,FALSE)</f>
        <v>8220</v>
      </c>
      <c r="L127" s="71">
        <f t="shared" si="50"/>
        <v>83.333333333333329</v>
      </c>
      <c r="M127" s="71">
        <f t="shared" si="51"/>
        <v>7672.1170232031309</v>
      </c>
      <c r="N127" s="72">
        <f t="shared" si="44"/>
        <v>7672.118837272249</v>
      </c>
      <c r="O127" s="71">
        <f t="shared" si="52"/>
        <v>53.139423180485991</v>
      </c>
      <c r="P127" s="72">
        <f t="shared" si="45"/>
        <v>53.139549773864822</v>
      </c>
      <c r="Q127" s="73">
        <f t="shared" si="46"/>
        <v>53.139549773864822</v>
      </c>
      <c r="R127" s="73"/>
      <c r="S127" s="73">
        <f t="shared" si="47"/>
        <v>144.37681293727414</v>
      </c>
      <c r="T127" s="42">
        <f t="shared" si="48"/>
        <v>0.39</v>
      </c>
      <c r="U127" s="49">
        <f t="shared" si="49"/>
        <v>20.724424411807281</v>
      </c>
      <c r="V127" s="73">
        <f t="shared" si="53"/>
        <v>45.724424411807277</v>
      </c>
      <c r="W127" s="57"/>
    </row>
    <row r="128" spans="1:23" s="46" customFormat="1" ht="16.5" hidden="1" customHeight="1" x14ac:dyDescent="0.25">
      <c r="A128" s="42"/>
      <c r="B128" s="42"/>
      <c r="C128" s="42"/>
      <c r="D128" s="42"/>
      <c r="E128" s="42"/>
      <c r="F128" s="42"/>
      <c r="G128" s="42"/>
      <c r="H128" s="49">
        <f t="shared" si="43"/>
        <v>37.030864197530867</v>
      </c>
      <c r="I128" s="42"/>
      <c r="J128" s="42" t="s">
        <v>93</v>
      </c>
      <c r="K128" s="42">
        <f>HLOOKUP(Simulator!$C$6,Calculation!L$104:V$116,12,FALSE)</f>
        <v>11998</v>
      </c>
      <c r="L128" s="71">
        <f t="shared" si="50"/>
        <v>55.555555555555557</v>
      </c>
      <c r="M128" s="71">
        <f t="shared" si="51"/>
        <v>7712.1861013927246</v>
      </c>
      <c r="N128" s="72">
        <f>(E$105*$E$111^2+E$106*$E$111+E$107)*M128</f>
        <v>7712.1879249361609</v>
      </c>
      <c r="O128" s="71">
        <f t="shared" si="52"/>
        <v>51.500414829022823</v>
      </c>
      <c r="P128" s="72">
        <f t="shared" si="45"/>
        <v>51.500537517812688</v>
      </c>
      <c r="Q128" s="73">
        <f t="shared" si="46"/>
        <v>51.500537517812688</v>
      </c>
      <c r="R128" s="73"/>
      <c r="S128" s="73">
        <f t="shared" si="47"/>
        <v>149.74965887042862</v>
      </c>
      <c r="T128" s="42">
        <f t="shared" si="48"/>
        <v>0.26</v>
      </c>
      <c r="U128" s="49">
        <f t="shared" si="49"/>
        <v>13.390139754631299</v>
      </c>
      <c r="V128" s="73">
        <f t="shared" si="53"/>
        <v>38.390139754631299</v>
      </c>
      <c r="W128" s="42"/>
    </row>
    <row r="129" spans="1:23" s="46" customFormat="1" ht="16.5" hidden="1" customHeight="1" x14ac:dyDescent="0.25">
      <c r="A129" s="42"/>
      <c r="B129" s="42"/>
      <c r="C129" s="42"/>
      <c r="D129" s="42"/>
      <c r="E129" s="42"/>
      <c r="F129" s="42"/>
      <c r="G129" s="42"/>
      <c r="H129" s="49">
        <f t="shared" si="43"/>
        <v>38.251111111111108</v>
      </c>
      <c r="I129" s="42"/>
      <c r="J129" s="42" t="s">
        <v>94</v>
      </c>
      <c r="K129" s="42">
        <f>HLOOKUP(Simulator!$C$6,Calculation!L$104:V$116,13,FALSE)</f>
        <v>17213</v>
      </c>
      <c r="L129" s="71">
        <f>E$109/I116</f>
        <v>40</v>
      </c>
      <c r="M129" s="71">
        <f>(B$105*$L129^3+B$106*$L129^2+B$107*$L129+B$108)*K129</f>
        <v>8116.9458908713423</v>
      </c>
      <c r="N129" s="72">
        <f>(E$105*$E$121^2+E$106*$E$121+E$107)*M129</f>
        <v>8116.9478101200748</v>
      </c>
      <c r="O129" s="71">
        <f>(D$105*$L129^2+D$106*$L129+D$107)*K116</f>
        <v>50.501380657243281</v>
      </c>
      <c r="P129" s="72">
        <f>(F$105*$E$121^2+F$106*$E$121+F$107)*O129</f>
        <v>50.501500966046621</v>
      </c>
      <c r="Q129" s="73">
        <f>E$75*P129/1000</f>
        <v>50.501500966046621</v>
      </c>
      <c r="R129" s="73"/>
      <c r="S129" s="73">
        <f t="shared" si="47"/>
        <v>160.72686266448386</v>
      </c>
      <c r="T129" s="42">
        <f t="shared" si="48"/>
        <v>0.25</v>
      </c>
      <c r="U129" s="49">
        <f t="shared" si="49"/>
        <v>12.625375241511655</v>
      </c>
      <c r="V129" s="73">
        <f>E$121+U129</f>
        <v>37.625375241511655</v>
      </c>
      <c r="W129" s="57"/>
    </row>
    <row r="130" spans="1:23" s="46" customFormat="1" ht="16.5" hidden="1" customHeight="1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s="46" customFormat="1" ht="16.5" hidden="1" customHeight="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9"/>
      <c r="L131" s="62"/>
      <c r="M131" s="42"/>
      <c r="N131" s="42"/>
      <c r="O131" s="71"/>
      <c r="P131" s="67" t="s">
        <v>11</v>
      </c>
      <c r="Q131" s="67" t="s">
        <v>10</v>
      </c>
      <c r="R131" s="67"/>
      <c r="S131" s="67"/>
      <c r="T131" s="67"/>
      <c r="U131" s="42"/>
      <c r="V131" s="42"/>
      <c r="W131" s="42"/>
    </row>
    <row r="132" spans="1:23" s="46" customFormat="1" ht="16.5" hidden="1" customHeight="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9"/>
      <c r="L132" s="62"/>
      <c r="M132" s="42"/>
      <c r="N132" s="42"/>
      <c r="O132" s="71"/>
      <c r="P132" s="48"/>
      <c r="Q132" s="48">
        <f>$C$37</f>
        <v>5</v>
      </c>
      <c r="R132" s="48"/>
      <c r="S132" s="48"/>
      <c r="T132" s="48"/>
      <c r="U132" s="42"/>
      <c r="V132" s="42"/>
      <c r="W132" s="42"/>
    </row>
    <row r="133" spans="1:23" s="46" customFormat="1" ht="16.5" hidden="1" customHeight="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9"/>
      <c r="L133" s="62"/>
      <c r="M133" s="42"/>
      <c r="N133" s="42"/>
      <c r="O133" s="71"/>
      <c r="P133" s="48"/>
      <c r="Q133" s="48"/>
      <c r="R133" s="48"/>
      <c r="S133" s="48"/>
      <c r="T133" s="48"/>
      <c r="U133" s="42"/>
      <c r="V133" s="42"/>
      <c r="W133" s="42"/>
    </row>
    <row r="134" spans="1:23" s="46" customFormat="1" ht="16.5" hidden="1" customHeight="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9"/>
      <c r="L134" s="62"/>
      <c r="M134" s="42"/>
      <c r="N134" s="42"/>
      <c r="O134" s="71"/>
      <c r="P134" s="67" t="s">
        <v>104</v>
      </c>
      <c r="Q134" s="67" t="s">
        <v>9</v>
      </c>
      <c r="R134" s="67"/>
      <c r="S134" s="67" t="s">
        <v>10</v>
      </c>
      <c r="T134" s="48"/>
      <c r="U134" s="42"/>
      <c r="V134" s="42"/>
      <c r="W134" s="42"/>
    </row>
    <row r="135" spans="1:23" s="46" customFormat="1" ht="16.5" hidden="1" customHeight="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9"/>
      <c r="L135" s="62"/>
      <c r="M135" s="42"/>
      <c r="N135" s="42"/>
      <c r="O135" s="71"/>
      <c r="P135" s="48"/>
      <c r="Q135" s="48">
        <f>$C$39</f>
        <v>100</v>
      </c>
      <c r="R135" s="48"/>
      <c r="S135" s="48">
        <f>$D$39</f>
        <v>-40</v>
      </c>
      <c r="T135" s="48"/>
      <c r="U135" s="42"/>
      <c r="V135" s="42"/>
      <c r="W135" s="42"/>
    </row>
    <row r="136" spans="1:23" s="46" customFormat="1" ht="16.5" hidden="1" customHeigh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9"/>
      <c r="L136" s="62"/>
      <c r="M136" s="42"/>
      <c r="N136" s="42"/>
      <c r="O136" s="71"/>
      <c r="P136" s="48"/>
      <c r="Q136" s="48"/>
      <c r="R136" s="48"/>
      <c r="S136" s="48"/>
      <c r="T136" s="48"/>
      <c r="U136" s="42"/>
      <c r="V136" s="42"/>
      <c r="W136" s="42"/>
    </row>
    <row r="137" spans="1:23" s="46" customFormat="1" ht="16.5" hidden="1" customHeight="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9"/>
      <c r="L137" s="62"/>
      <c r="M137" s="42"/>
      <c r="N137" s="42"/>
      <c r="O137" s="71"/>
      <c r="P137" s="67" t="s">
        <v>12</v>
      </c>
      <c r="Q137" s="67" t="s">
        <v>9</v>
      </c>
      <c r="R137" s="67"/>
      <c r="S137" s="67" t="s">
        <v>10</v>
      </c>
      <c r="T137" s="48"/>
      <c r="U137" s="42"/>
      <c r="V137" s="42"/>
      <c r="W137" s="42"/>
    </row>
    <row r="138" spans="1:23" s="46" customFormat="1" ht="16.5" hidden="1" customHeight="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9"/>
      <c r="L138" s="62"/>
      <c r="M138" s="42"/>
      <c r="N138" s="42"/>
      <c r="O138" s="71"/>
      <c r="P138" s="48"/>
      <c r="Q138" s="48">
        <f>$C$41</f>
        <v>140</v>
      </c>
      <c r="R138" s="48"/>
      <c r="S138" s="48">
        <f>$D$41</f>
        <v>-25</v>
      </c>
      <c r="T138" s="48"/>
      <c r="U138" s="42"/>
      <c r="V138" s="42"/>
      <c r="W138" s="42"/>
    </row>
    <row r="139" spans="1:23" s="46" customFormat="1" ht="16.5" hidden="1" customHeight="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9"/>
      <c r="M139" s="62"/>
      <c r="N139" s="42"/>
      <c r="O139" s="71"/>
      <c r="P139" s="48"/>
      <c r="Q139" s="48"/>
      <c r="R139" s="48"/>
      <c r="S139" s="48"/>
      <c r="T139" s="48"/>
      <c r="U139" s="42"/>
      <c r="V139" s="42"/>
      <c r="W139" s="42"/>
    </row>
    <row r="140" spans="1:23" s="46" customFormat="1" ht="16.5" hidden="1" customHeight="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9"/>
      <c r="M140" s="62"/>
      <c r="N140" s="42"/>
      <c r="O140" s="71"/>
      <c r="P140" s="48"/>
      <c r="Q140" s="48" t="s">
        <v>104</v>
      </c>
      <c r="R140" s="48" t="s">
        <v>11</v>
      </c>
      <c r="S140" s="48"/>
      <c r="T140" s="48"/>
      <c r="U140" s="48"/>
      <c r="V140" s="48" t="s">
        <v>12</v>
      </c>
      <c r="W140" s="48" t="s">
        <v>81</v>
      </c>
    </row>
    <row r="141" spans="1:23" s="46" customFormat="1" ht="16.5" hidden="1" customHeight="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 t="s">
        <v>59</v>
      </c>
      <c r="M141" s="62"/>
      <c r="N141" s="49" t="s">
        <v>61</v>
      </c>
      <c r="O141" s="71"/>
      <c r="P141" s="48"/>
      <c r="Q141" s="48" t="s">
        <v>8</v>
      </c>
      <c r="R141" s="48" t="s">
        <v>60</v>
      </c>
      <c r="S141" s="48"/>
      <c r="T141" s="48" t="s">
        <v>61</v>
      </c>
      <c r="U141" s="48" t="s">
        <v>82</v>
      </c>
      <c r="V141" s="48" t="s">
        <v>8</v>
      </c>
      <c r="W141" s="48" t="s">
        <v>83</v>
      </c>
    </row>
    <row r="142" spans="1:23" s="46" customFormat="1" ht="16.5" hidden="1" customHeight="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9">
        <v>180</v>
      </c>
      <c r="M142" s="82">
        <f>L142</f>
        <v>180</v>
      </c>
      <c r="N142" s="83">
        <f t="shared" ref="N142:N152" si="54">IF(L142&gt;=M142,M142,L142)</f>
        <v>180</v>
      </c>
      <c r="O142" s="71"/>
      <c r="P142" s="42" t="str">
        <f>P91</f>
        <v>CLU024-1201B8</v>
      </c>
      <c r="Q142" s="48" t="b">
        <f>AND(S$135&lt;=$E$121,Q$135&gt;=$E$121)</f>
        <v>1</v>
      </c>
      <c r="R142" s="42">
        <f>Q$132</f>
        <v>5</v>
      </c>
      <c r="S142" s="42"/>
      <c r="T142" s="83">
        <f>N142/I106</f>
        <v>180</v>
      </c>
      <c r="U142" s="48" t="b">
        <f>AND(Q142,R142&lt;=L119,T142&gt;=L119)</f>
        <v>0</v>
      </c>
      <c r="V142" s="48" t="b">
        <f>AND(Q142,S$138&lt;V119,Q$138&gt;V119)</f>
        <v>1</v>
      </c>
      <c r="W142" s="48" t="b">
        <f>AND(U142,Q142,V142)</f>
        <v>0</v>
      </c>
    </row>
    <row r="143" spans="1:23" s="46" customFormat="1" ht="16.5" hidden="1" customHeight="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9">
        <v>360</v>
      </c>
      <c r="M143" s="82">
        <f>L143</f>
        <v>360</v>
      </c>
      <c r="N143" s="83">
        <f t="shared" si="54"/>
        <v>360</v>
      </c>
      <c r="O143" s="42"/>
      <c r="P143" s="42" t="str">
        <f t="shared" ref="P143:P152" si="55">P92</f>
        <v>CLU024-1202B8</v>
      </c>
      <c r="Q143" s="48" t="b">
        <f t="shared" ref="Q143:Q152" si="56">AND(S$135&lt;=$E$121,Q$135&gt;=$E$121)</f>
        <v>1</v>
      </c>
      <c r="R143" s="42">
        <f t="shared" ref="R143:R152" si="57">Q$132</f>
        <v>5</v>
      </c>
      <c r="S143" s="42"/>
      <c r="T143" s="83">
        <f t="shared" ref="T143:T152" si="58">N143/I107</f>
        <v>180</v>
      </c>
      <c r="U143" s="48" t="b">
        <f t="shared" ref="U143:U151" si="59">AND(Q143,R143&lt;=L120,T143&gt;=L120)</f>
        <v>0</v>
      </c>
      <c r="V143" s="48" t="b">
        <f t="shared" ref="V143:V152" si="60">AND(Q143,S$138&lt;V120,Q$138&gt;V120)</f>
        <v>1</v>
      </c>
      <c r="W143" s="48" t="b">
        <f t="shared" ref="W143:W152" si="61">AND(U143,Q143,V143)</f>
        <v>0</v>
      </c>
    </row>
    <row r="144" spans="1:23" s="46" customFormat="1" ht="16.5" hidden="1" customHeight="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9">
        <v>540</v>
      </c>
      <c r="M144" s="82">
        <f>L144</f>
        <v>540</v>
      </c>
      <c r="N144" s="83">
        <f t="shared" si="54"/>
        <v>540</v>
      </c>
      <c r="O144" s="42"/>
      <c r="P144" s="42" t="str">
        <f t="shared" si="55"/>
        <v>CLU024-1203B8</v>
      </c>
      <c r="Q144" s="48" t="b">
        <f t="shared" si="56"/>
        <v>1</v>
      </c>
      <c r="R144" s="42">
        <f t="shared" si="57"/>
        <v>5</v>
      </c>
      <c r="S144" s="42"/>
      <c r="T144" s="83">
        <f t="shared" si="58"/>
        <v>180</v>
      </c>
      <c r="U144" s="48" t="b">
        <f t="shared" si="59"/>
        <v>0</v>
      </c>
      <c r="V144" s="48" t="b">
        <f t="shared" si="60"/>
        <v>1</v>
      </c>
      <c r="W144" s="48" t="b">
        <f t="shared" si="61"/>
        <v>0</v>
      </c>
    </row>
    <row r="145" spans="1:23" s="46" customFormat="1" ht="16.5" hidden="1" customHeight="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9">
        <v>720</v>
      </c>
      <c r="M145" s="46">
        <f>(-200*E111/15)+(5560/3)</f>
        <v>1520</v>
      </c>
      <c r="N145" s="83">
        <f t="shared" si="54"/>
        <v>720</v>
      </c>
      <c r="O145" s="42"/>
      <c r="P145" s="42" t="str">
        <f t="shared" si="55"/>
        <v>CLU024-1204B8</v>
      </c>
      <c r="Q145" s="48" t="b">
        <f t="shared" si="56"/>
        <v>1</v>
      </c>
      <c r="R145" s="42">
        <f t="shared" si="57"/>
        <v>5</v>
      </c>
      <c r="S145" s="42"/>
      <c r="T145" s="83">
        <f t="shared" si="58"/>
        <v>180</v>
      </c>
      <c r="U145" s="48" t="b">
        <f t="shared" si="59"/>
        <v>0</v>
      </c>
      <c r="V145" s="48" t="b">
        <f t="shared" si="60"/>
        <v>1</v>
      </c>
      <c r="W145" s="48" t="b">
        <f t="shared" si="61"/>
        <v>0</v>
      </c>
    </row>
    <row r="146" spans="1:23" s="46" customFormat="1" ht="16.5" hidden="1" customHeight="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>
        <v>900</v>
      </c>
      <c r="M146" s="82">
        <f>L146</f>
        <v>900</v>
      </c>
      <c r="N146" s="83">
        <f t="shared" si="54"/>
        <v>900</v>
      </c>
      <c r="O146" s="42"/>
      <c r="P146" s="42" t="str">
        <f t="shared" si="55"/>
        <v>CLU034-1205B8</v>
      </c>
      <c r="Q146" s="48" t="b">
        <f t="shared" si="56"/>
        <v>1</v>
      </c>
      <c r="R146" s="42">
        <f t="shared" si="57"/>
        <v>5</v>
      </c>
      <c r="S146" s="42"/>
      <c r="T146" s="83">
        <f t="shared" si="58"/>
        <v>180</v>
      </c>
      <c r="U146" s="48" t="b">
        <f t="shared" si="59"/>
        <v>0</v>
      </c>
      <c r="V146" s="48" t="b">
        <f t="shared" si="60"/>
        <v>1</v>
      </c>
      <c r="W146" s="48" t="b">
        <f t="shared" si="61"/>
        <v>0</v>
      </c>
    </row>
    <row r="147" spans="1:23" s="46" customFormat="1" ht="16.5" hidden="1" customHeigh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>
        <v>1080</v>
      </c>
      <c r="M147" s="46">
        <f>(E111*-4)+1420</f>
        <v>1320</v>
      </c>
      <c r="N147" s="83">
        <f t="shared" si="54"/>
        <v>1080</v>
      </c>
      <c r="O147" s="42"/>
      <c r="P147" s="42" t="str">
        <f t="shared" si="55"/>
        <v>CLU034-1206B8</v>
      </c>
      <c r="Q147" s="48" t="b">
        <f t="shared" si="56"/>
        <v>1</v>
      </c>
      <c r="R147" s="42">
        <f t="shared" si="57"/>
        <v>5</v>
      </c>
      <c r="S147" s="42"/>
      <c r="T147" s="83">
        <f t="shared" si="58"/>
        <v>180</v>
      </c>
      <c r="U147" s="48" t="b">
        <f t="shared" si="59"/>
        <v>1</v>
      </c>
      <c r="V147" s="48" t="b">
        <f t="shared" si="60"/>
        <v>1</v>
      </c>
      <c r="W147" s="48" t="b">
        <f t="shared" si="61"/>
        <v>1</v>
      </c>
    </row>
    <row r="148" spans="1:23" s="46" customFormat="1" ht="16.5" hidden="1" customHeight="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>
        <v>1440</v>
      </c>
      <c r="M148" s="46">
        <f>(-32*E111/3)+(7040/3)</f>
        <v>2080</v>
      </c>
      <c r="N148" s="83">
        <f t="shared" si="54"/>
        <v>1440</v>
      </c>
      <c r="O148" s="42"/>
      <c r="P148" s="42" t="str">
        <f t="shared" si="55"/>
        <v>CLU034-1208B8</v>
      </c>
      <c r="Q148" s="48" t="b">
        <f t="shared" si="56"/>
        <v>1</v>
      </c>
      <c r="R148" s="42">
        <f t="shared" si="57"/>
        <v>5</v>
      </c>
      <c r="S148" s="42"/>
      <c r="T148" s="83">
        <f t="shared" si="58"/>
        <v>180</v>
      </c>
      <c r="U148" s="48" t="b">
        <f t="shared" si="59"/>
        <v>1</v>
      </c>
      <c r="V148" s="48" t="b">
        <f t="shared" si="60"/>
        <v>1</v>
      </c>
      <c r="W148" s="48" t="b">
        <f t="shared" si="61"/>
        <v>1</v>
      </c>
    </row>
    <row r="149" spans="1:23" s="46" customFormat="1" ht="16.5" hidden="1" customHeight="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>
        <v>2160</v>
      </c>
      <c r="M149" s="46">
        <f>-16*E111+3520</f>
        <v>3120</v>
      </c>
      <c r="N149" s="83">
        <f t="shared" si="54"/>
        <v>2160</v>
      </c>
      <c r="O149" s="42"/>
      <c r="P149" s="42" t="str">
        <f t="shared" si="55"/>
        <v>CLU044-1212B8</v>
      </c>
      <c r="Q149" s="48" t="b">
        <f t="shared" si="56"/>
        <v>1</v>
      </c>
      <c r="R149" s="42">
        <f t="shared" si="57"/>
        <v>5</v>
      </c>
      <c r="S149" s="42"/>
      <c r="T149" s="83">
        <f t="shared" si="58"/>
        <v>180</v>
      </c>
      <c r="U149" s="48" t="b">
        <f t="shared" si="59"/>
        <v>1</v>
      </c>
      <c r="V149" s="48" t="b">
        <f t="shared" si="60"/>
        <v>1</v>
      </c>
      <c r="W149" s="48" t="b">
        <f t="shared" si="61"/>
        <v>1</v>
      </c>
    </row>
    <row r="150" spans="1:23" s="46" customFormat="1" ht="16.5" hidden="1" customHeight="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>
        <v>2160</v>
      </c>
      <c r="M150" s="46">
        <f>-28*E111+4540</f>
        <v>3840</v>
      </c>
      <c r="N150" s="83">
        <f t="shared" si="54"/>
        <v>2160</v>
      </c>
      <c r="O150" s="42"/>
      <c r="P150" s="42" t="str">
        <f t="shared" si="55"/>
        <v>CLU044-1812B8</v>
      </c>
      <c r="Q150" s="48" t="b">
        <f t="shared" si="56"/>
        <v>1</v>
      </c>
      <c r="R150" s="42">
        <f t="shared" si="57"/>
        <v>5</v>
      </c>
      <c r="S150" s="42"/>
      <c r="T150" s="83">
        <f t="shared" si="58"/>
        <v>180</v>
      </c>
      <c r="U150" s="48" t="b">
        <f t="shared" si="59"/>
        <v>1</v>
      </c>
      <c r="V150" s="48" t="b">
        <f t="shared" si="60"/>
        <v>1</v>
      </c>
      <c r="W150" s="48" t="b">
        <f t="shared" si="61"/>
        <v>1</v>
      </c>
    </row>
    <row r="151" spans="1:23" s="46" customFormat="1" ht="16.5" hidden="1" customHeigh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>
        <v>2160</v>
      </c>
      <c r="M151" s="82">
        <f>L151</f>
        <v>2160</v>
      </c>
      <c r="N151" s="83">
        <f t="shared" si="54"/>
        <v>2160</v>
      </c>
      <c r="O151" s="42"/>
      <c r="P151" s="42" t="str">
        <f t="shared" si="55"/>
        <v>CLU044-1818B8</v>
      </c>
      <c r="Q151" s="48" t="b">
        <f t="shared" si="56"/>
        <v>1</v>
      </c>
      <c r="R151" s="42">
        <f t="shared" si="57"/>
        <v>5</v>
      </c>
      <c r="S151" s="42"/>
      <c r="T151" s="83">
        <f t="shared" si="58"/>
        <v>120</v>
      </c>
      <c r="U151" s="48" t="b">
        <f t="shared" si="59"/>
        <v>1</v>
      </c>
      <c r="V151" s="48" t="b">
        <f t="shared" si="60"/>
        <v>1</v>
      </c>
      <c r="W151" s="48" t="b">
        <f t="shared" si="61"/>
        <v>1</v>
      </c>
    </row>
    <row r="152" spans="1:23" s="46" customFormat="1" ht="16.5" hidden="1" customHeight="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>
        <v>3000</v>
      </c>
      <c r="M152" s="82">
        <f>L152</f>
        <v>3000</v>
      </c>
      <c r="N152" s="83">
        <f t="shared" si="54"/>
        <v>3000</v>
      </c>
      <c r="O152" s="42"/>
      <c r="P152" s="42" t="str">
        <f t="shared" si="55"/>
        <v>CLU054-1825B8</v>
      </c>
      <c r="Q152" s="48" t="b">
        <f t="shared" si="56"/>
        <v>1</v>
      </c>
      <c r="R152" s="42">
        <f t="shared" si="57"/>
        <v>5</v>
      </c>
      <c r="S152" s="42"/>
      <c r="T152" s="83">
        <f t="shared" si="58"/>
        <v>120</v>
      </c>
      <c r="U152" s="48" t="b">
        <f>AND(Q152,R152&lt;=L129,T152&gt;=L129)</f>
        <v>1</v>
      </c>
      <c r="V152" s="48" t="b">
        <f t="shared" si="60"/>
        <v>1</v>
      </c>
      <c r="W152" s="48" t="b">
        <f t="shared" si="61"/>
        <v>1</v>
      </c>
    </row>
    <row r="153" spans="1:23" s="46" customFormat="1" ht="16.5" hidden="1" customHeight="1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s="46" customFormat="1" ht="16.5" hidden="1" customHeight="1" x14ac:dyDescent="0.2"/>
    <row r="155" spans="1:23" s="46" customFormat="1" ht="16.5" hidden="1" customHeight="1" x14ac:dyDescent="0.2"/>
    <row r="156" spans="1:23" s="46" customFormat="1" ht="16.5" hidden="1" customHeight="1" x14ac:dyDescent="0.2"/>
    <row r="157" spans="1:23" ht="16.5" hidden="1" customHeight="1" x14ac:dyDescent="0.2"/>
    <row r="158" spans="1:23" ht="16.5" hidden="1" customHeight="1" x14ac:dyDescent="0.2"/>
    <row r="159" spans="1:23" ht="16.5" hidden="1" customHeight="1" x14ac:dyDescent="0.2"/>
    <row r="160" spans="1:23" ht="16.5" hidden="1" customHeight="1" x14ac:dyDescent="0.2"/>
    <row r="161" ht="16.5" hidden="1" customHeight="1" x14ac:dyDescent="0.2"/>
    <row r="162" ht="16.5" hidden="1" customHeight="1" x14ac:dyDescent="0.2"/>
    <row r="163" ht="16.5" hidden="1" customHeight="1" x14ac:dyDescent="0.2"/>
    <row r="164" ht="16.5" hidden="1" customHeight="1" x14ac:dyDescent="0.2"/>
    <row r="165" ht="16.5" hidden="1" customHeight="1" x14ac:dyDescent="0.2"/>
    <row r="166" ht="16.5" hidden="1" customHeight="1" x14ac:dyDescent="0.2"/>
    <row r="167" ht="16.5" hidden="1" customHeight="1" x14ac:dyDescent="0.2"/>
    <row r="168" ht="16.5" hidden="1" customHeight="1" x14ac:dyDescent="0.2"/>
    <row r="169" ht="16.5" hidden="1" customHeight="1" x14ac:dyDescent="0.2"/>
    <row r="170" ht="16.5" hidden="1" customHeight="1" x14ac:dyDescent="0.2"/>
    <row r="171" ht="16.5" hidden="1" customHeight="1" x14ac:dyDescent="0.2"/>
    <row r="172" ht="16.5" hidden="1" customHeight="1" x14ac:dyDescent="0.2"/>
    <row r="173" ht="16.5" hidden="1" customHeight="1" x14ac:dyDescent="0.2"/>
    <row r="174" ht="16.5" hidden="1" customHeight="1" x14ac:dyDescent="0.2"/>
    <row r="175" ht="16.5" hidden="1" customHeight="1" x14ac:dyDescent="0.2"/>
    <row r="176" ht="16.5" hidden="1" customHeight="1" x14ac:dyDescent="0.2"/>
    <row r="177" ht="16.5" hidden="1" customHeight="1" x14ac:dyDescent="0.2"/>
    <row r="178" ht="16.5" hidden="1" customHeight="1" x14ac:dyDescent="0.2"/>
    <row r="179" ht="16.5" hidden="1" customHeight="1" x14ac:dyDescent="0.2"/>
    <row r="180" ht="16.5" hidden="1" customHeight="1" x14ac:dyDescent="0.2"/>
    <row r="181" ht="16.5" hidden="1" customHeight="1" x14ac:dyDescent="0.2"/>
    <row r="182" ht="16.5" hidden="1" customHeight="1" x14ac:dyDescent="0.2"/>
    <row r="183" ht="16.5" hidden="1" customHeight="1" x14ac:dyDescent="0.2"/>
    <row r="184" ht="16.5" hidden="1" customHeight="1" x14ac:dyDescent="0.2"/>
    <row r="185" ht="16.5" hidden="1" customHeight="1" x14ac:dyDescent="0.2"/>
    <row r="186" ht="16.5" hidden="1" customHeight="1" x14ac:dyDescent="0.2"/>
    <row r="187" ht="16.5" hidden="1" customHeight="1" x14ac:dyDescent="0.2"/>
    <row r="188" ht="16.5" hidden="1" customHeight="1" x14ac:dyDescent="0.2"/>
    <row r="189" ht="16.5" hidden="1" customHeight="1" x14ac:dyDescent="0.2"/>
    <row r="190" ht="16.5" hidden="1" customHeight="1" x14ac:dyDescent="0.2"/>
    <row r="191" ht="16.5" hidden="1" customHeight="1" x14ac:dyDescent="0.2"/>
    <row r="192" ht="16.5" hidden="1" customHeight="1" x14ac:dyDescent="0.2"/>
    <row r="193" ht="16.5" hidden="1" customHeight="1" x14ac:dyDescent="0.2"/>
    <row r="194" ht="16.5" hidden="1" customHeight="1" x14ac:dyDescent="0.2"/>
    <row r="195" ht="16.5" hidden="1" customHeight="1" x14ac:dyDescent="0.2"/>
    <row r="196" ht="16.5" hidden="1" customHeight="1" x14ac:dyDescent="0.2"/>
    <row r="197" ht="16.5" hidden="1" customHeight="1" x14ac:dyDescent="0.2"/>
    <row r="198" ht="16.5" hidden="1" customHeight="1" x14ac:dyDescent="0.2"/>
    <row r="199" ht="16.5" hidden="1" customHeight="1" x14ac:dyDescent="0.2"/>
  </sheetData>
  <sheetProtection password="AF21" sheet="1" objects="1" scenarios="1" formatCells="0" formatColumns="0" formatRows="0" insertColumns="0" insertRows="0" insertHyperlinks="0" deleteColumns="0" deleteRows="0" sort="0" autoFilter="0" pivotTables="0"/>
  <mergeCells count="2">
    <mergeCell ref="A43:B43"/>
    <mergeCell ref="I43:J43"/>
  </mergeCells>
  <phoneticPr fontId="2"/>
  <conditionalFormatting sqref="C23:L33">
    <cfRule type="cellIs" dxfId="6" priority="1" stopIfTrue="1" operator="equal">
      <formula>"Not Applicable"</formula>
    </cfRule>
  </conditionalFormatting>
  <pageMargins left="0.19685039370078741" right="0.19685039370078741" top="0.19685039370078741" bottom="0.19685039370078741" header="0.51181102362204722" footer="0.51181102362204722"/>
  <pageSetup paperSize="9" scale="37" orientation="landscape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Simulator</vt:lpstr>
      <vt:lpstr>Calculation</vt:lpstr>
      <vt:lpstr>Simulator!Print_Area</vt:lpstr>
    </vt:vector>
  </TitlesOfParts>
  <Company>CITIZEN ELECTRONICS CO.,LTD.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CITILED Lighting LED Selection Simulator</dc:title>
  <dc:creator>舟久保 拓也</dc:creator>
  <cp:lastModifiedBy>今井 貞人</cp:lastModifiedBy>
  <cp:lastPrinted>2014-05-01T10:43:19Z</cp:lastPrinted>
  <dcterms:created xsi:type="dcterms:W3CDTF">2011-08-25T00:09:33Z</dcterms:created>
  <dcterms:modified xsi:type="dcterms:W3CDTF">2014-05-09T07:28:29Z</dcterms:modified>
</cp:coreProperties>
</file>